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120" windowWidth="15480" windowHeight="8220" activeTab="4"/>
  </bookViews>
  <sheets>
    <sheet name="Budget" sheetId="4" r:id="rId1"/>
    <sheet name="Activities timeline" sheetId="7" r:id="rId2"/>
    <sheet name="WLA summary - DM" sheetId="5" r:id="rId3"/>
    <sheet name="WL calculation - DM" sheetId="9" r:id="rId4"/>
    <sheet name="WLA summary - IM" sheetId="12" r:id="rId5"/>
    <sheet name="WL calculation - IM" sheetId="10" r:id="rId6"/>
    <sheet name="Sheet1" sheetId="13" r:id="rId7"/>
  </sheets>
  <definedNames>
    <definedName name="_xlnm.Print_Area" localSheetId="0">Budget!$A$1:$M$36</definedName>
    <definedName name="_xlnm.Print_Area" localSheetId="3">'WL calculation - DM'!$A$1:$E$89</definedName>
    <definedName name="_xlnm.Print_Area" localSheetId="5">'WL calculation - IM'!$A$1:$E$90</definedName>
    <definedName name="Z_810FAB36_47E8_4EEB_B6BA_3EF04A456D49_.wvu.PrintArea" localSheetId="0" hidden="1">Budget!$A$1:$M$36</definedName>
    <definedName name="Z_810FAB36_47E8_4EEB_B6BA_3EF04A456D49_.wvu.Rows" localSheetId="0" hidden="1">Budget!$4:$12,Budget!$14:$17,Budget!#REF!,Budget!$19:$25,Budget!$27:$28,Budget!$31:$31,Budget!$33:$35</definedName>
    <definedName name="Z_BC2D69D7_2AA0_4998_A006_4DBACCF75510_.wvu.PrintArea" localSheetId="0" hidden="1">Budget!$A$1:$M$36</definedName>
    <definedName name="Z_EFB59CDE_48E3_4D53_84B3_8D422605863F_.wvu.Cols" localSheetId="0" hidden="1">Budget!$D:$M</definedName>
    <definedName name="Z_EFB59CDE_48E3_4D53_84B3_8D422605863F_.wvu.PrintArea" localSheetId="0" hidden="1">Budget!$A$1:$M$36</definedName>
  </definedNames>
  <calcPr calcId="145621"/>
  <customWorkbookViews>
    <customWorkbookView name="BiH" guid="{EFB59CDE-48E3-4D53-84B3-8D422605863F}" maximized="1" windowWidth="1276" windowHeight="567" activeSheetId="4"/>
    <customWorkbookView name="Croatia" guid="{BC2D69D7-2AA0-4998-A006-4DBACCF75510}" maximized="1" windowWidth="1276" windowHeight="567" activeSheetId="4"/>
    <customWorkbookView name="Summary" guid="{810FAB36-47E8-4EEB-B6BA-3EF04A456D49}" maximized="1" windowWidth="1276" windowHeight="567" activeSheetId="4"/>
  </customWorkbookViews>
</workbook>
</file>

<file path=xl/calcChain.xml><?xml version="1.0" encoding="utf-8"?>
<calcChain xmlns="http://schemas.openxmlformats.org/spreadsheetml/2006/main">
  <c r="D12" i="12" l="1"/>
  <c r="C12" i="12"/>
  <c r="B12" i="12"/>
  <c r="D12" i="5"/>
  <c r="C12" i="5"/>
  <c r="B12" i="5"/>
  <c r="L24" i="4" l="1"/>
  <c r="K24" i="4"/>
  <c r="J24" i="4"/>
  <c r="H24" i="4"/>
  <c r="F24" i="4"/>
  <c r="K27" i="4"/>
  <c r="L12" i="4" l="1"/>
  <c r="K9" i="4"/>
  <c r="L9" i="4" s="1"/>
  <c r="J9" i="4"/>
  <c r="H9" i="4"/>
  <c r="F9" i="4"/>
  <c r="C40" i="12"/>
  <c r="D40" i="12"/>
  <c r="B40" i="12"/>
  <c r="C40" i="5"/>
  <c r="D40" i="5"/>
  <c r="B40" i="5"/>
  <c r="D107" i="12"/>
  <c r="D10" i="12" s="1"/>
  <c r="C107" i="12"/>
  <c r="C10" i="12" s="1"/>
  <c r="B107" i="12"/>
  <c r="B10" i="12" s="1"/>
  <c r="D94" i="12"/>
  <c r="D9" i="12" s="1"/>
  <c r="C94" i="12"/>
  <c r="B94" i="12"/>
  <c r="D83" i="12"/>
  <c r="D8" i="12" s="1"/>
  <c r="C83" i="12"/>
  <c r="C8" i="12" s="1"/>
  <c r="B83" i="12"/>
  <c r="D74" i="12"/>
  <c r="C74" i="12"/>
  <c r="C7" i="12" s="1"/>
  <c r="B74" i="12"/>
  <c r="B7" i="12" s="1"/>
  <c r="D59" i="12"/>
  <c r="C59" i="12"/>
  <c r="C6" i="12" s="1"/>
  <c r="B59" i="12"/>
  <c r="B6" i="12" s="1"/>
  <c r="D5" i="12"/>
  <c r="D26" i="12"/>
  <c r="D4" i="12" s="1"/>
  <c r="C26" i="12"/>
  <c r="C4" i="12" s="1"/>
  <c r="B26" i="12"/>
  <c r="C9" i="12"/>
  <c r="B9" i="12"/>
  <c r="B8" i="12"/>
  <c r="D7" i="12"/>
  <c r="D6" i="12"/>
  <c r="C5" i="12"/>
  <c r="B5" i="12"/>
  <c r="B4" i="12"/>
  <c r="C10" i="5"/>
  <c r="D10" i="5"/>
  <c r="B10" i="5"/>
  <c r="C9" i="5"/>
  <c r="D9" i="5"/>
  <c r="B9" i="5"/>
  <c r="C8" i="5"/>
  <c r="D8" i="5"/>
  <c r="B8" i="5"/>
  <c r="C7" i="5"/>
  <c r="D7" i="5"/>
  <c r="B7" i="5"/>
  <c r="C6" i="5"/>
  <c r="D6" i="5"/>
  <c r="B6" i="5"/>
  <c r="C5" i="5"/>
  <c r="D5" i="5"/>
  <c r="C4" i="5"/>
  <c r="D4" i="5"/>
  <c r="D83" i="5"/>
  <c r="C83" i="5"/>
  <c r="B83" i="5"/>
  <c r="D74" i="5"/>
  <c r="C74" i="5"/>
  <c r="B74" i="5"/>
  <c r="C11" i="12" l="1"/>
  <c r="B11" i="12"/>
  <c r="D11" i="12"/>
  <c r="D89" i="10"/>
  <c r="E89" i="10" s="1"/>
  <c r="E90" i="10" s="1"/>
  <c r="E81" i="10"/>
  <c r="E74" i="10"/>
  <c r="E79" i="10" s="1"/>
  <c r="E73" i="10"/>
  <c r="E68" i="10"/>
  <c r="E70" i="10" s="1"/>
  <c r="D62" i="10"/>
  <c r="E62" i="10" s="1"/>
  <c r="D61" i="10"/>
  <c r="E61" i="10" s="1"/>
  <c r="D60" i="10"/>
  <c r="E60" i="10" s="1"/>
  <c r="D58" i="10"/>
  <c r="E58" i="10" s="1"/>
  <c r="D57" i="10"/>
  <c r="E57" i="10" s="1"/>
  <c r="D56" i="10"/>
  <c r="E56" i="10" s="1"/>
  <c r="D55" i="10"/>
  <c r="E55" i="10" s="1"/>
  <c r="D54" i="10"/>
  <c r="E54" i="10" s="1"/>
  <c r="E53" i="10"/>
  <c r="E52" i="10"/>
  <c r="E50" i="10"/>
  <c r="E47" i="10"/>
  <c r="D47" i="10"/>
  <c r="E46" i="10"/>
  <c r="D46" i="10"/>
  <c r="E45" i="10"/>
  <c r="D45" i="10"/>
  <c r="E44" i="10"/>
  <c r="E43" i="10"/>
  <c r="E42" i="10"/>
  <c r="D42" i="10"/>
  <c r="E41" i="10"/>
  <c r="D41" i="10"/>
  <c r="E40" i="10"/>
  <c r="E39" i="10"/>
  <c r="E36" i="10"/>
  <c r="E32" i="10"/>
  <c r="E31" i="10"/>
  <c r="E30" i="10"/>
  <c r="E29" i="10"/>
  <c r="E28" i="10"/>
  <c r="E25" i="10"/>
  <c r="E24" i="10"/>
  <c r="E23" i="10"/>
  <c r="D19" i="10"/>
  <c r="E19" i="10" s="1"/>
  <c r="D18" i="10"/>
  <c r="E18" i="10" s="1"/>
  <c r="E17" i="10"/>
  <c r="D16" i="10"/>
  <c r="E16" i="10" s="1"/>
  <c r="E15" i="10"/>
  <c r="E14" i="10"/>
  <c r="E13" i="10"/>
  <c r="D12" i="10"/>
  <c r="E12" i="10" s="1"/>
  <c r="D11" i="10"/>
  <c r="E11" i="10" s="1"/>
  <c r="E10" i="10"/>
  <c r="E9" i="10"/>
  <c r="D88" i="9"/>
  <c r="E88" i="9" s="1"/>
  <c r="E81" i="9"/>
  <c r="E74" i="9"/>
  <c r="E73" i="9"/>
  <c r="E70" i="9"/>
  <c r="E68" i="9"/>
  <c r="D62" i="9"/>
  <c r="E62" i="9" s="1"/>
  <c r="D61" i="9"/>
  <c r="E61" i="9" s="1"/>
  <c r="D60" i="9"/>
  <c r="E60" i="9" s="1"/>
  <c r="D58" i="9"/>
  <c r="E58" i="9" s="1"/>
  <c r="D57" i="9"/>
  <c r="E57" i="9" s="1"/>
  <c r="D56" i="9"/>
  <c r="E56" i="9" s="1"/>
  <c r="D55" i="9"/>
  <c r="E55" i="9" s="1"/>
  <c r="D54" i="9"/>
  <c r="E54" i="9" s="1"/>
  <c r="E53" i="9"/>
  <c r="E52" i="9"/>
  <c r="E50" i="9"/>
  <c r="E47" i="9"/>
  <c r="D47" i="9"/>
  <c r="E46" i="9"/>
  <c r="D46" i="9"/>
  <c r="E45" i="9"/>
  <c r="D45" i="9"/>
  <c r="E44" i="9"/>
  <c r="E43" i="9"/>
  <c r="E42" i="9"/>
  <c r="D42" i="9"/>
  <c r="E41" i="9"/>
  <c r="D41" i="9"/>
  <c r="E40" i="9"/>
  <c r="E39" i="9"/>
  <c r="E36" i="9"/>
  <c r="E32" i="9"/>
  <c r="E31" i="9"/>
  <c r="E30" i="9"/>
  <c r="E29" i="9"/>
  <c r="E28" i="9"/>
  <c r="E25" i="9"/>
  <c r="E24" i="9"/>
  <c r="E23" i="9"/>
  <c r="D19" i="9"/>
  <c r="E19" i="9" s="1"/>
  <c r="D18" i="9"/>
  <c r="E18" i="9" s="1"/>
  <c r="E17" i="9"/>
  <c r="D16" i="9"/>
  <c r="E16" i="9" s="1"/>
  <c r="E15" i="9"/>
  <c r="E14" i="9"/>
  <c r="E13" i="9"/>
  <c r="D12" i="9"/>
  <c r="E12" i="9" s="1"/>
  <c r="D11" i="9"/>
  <c r="E11" i="9" s="1"/>
  <c r="E10" i="9"/>
  <c r="E9" i="9"/>
  <c r="K5" i="4"/>
  <c r="L5" i="4" s="1"/>
  <c r="K7" i="4"/>
  <c r="L7" i="4" s="1"/>
  <c r="K8" i="4"/>
  <c r="L8" i="4" s="1"/>
  <c r="K10" i="4"/>
  <c r="L10" i="4" s="1"/>
  <c r="K33" i="4"/>
  <c r="L33" i="4" s="1"/>
  <c r="K34" i="4"/>
  <c r="L34" i="4" s="1"/>
  <c r="K35" i="4"/>
  <c r="L35" i="4" s="1"/>
  <c r="K30" i="4"/>
  <c r="L30" i="4" s="1"/>
  <c r="K31" i="4"/>
  <c r="L31" i="4" s="1"/>
  <c r="L27" i="4"/>
  <c r="K28" i="4"/>
  <c r="L28" i="4" s="1"/>
  <c r="K19" i="4"/>
  <c r="L19" i="4" s="1"/>
  <c r="K20" i="4"/>
  <c r="L20" i="4" s="1"/>
  <c r="K21" i="4"/>
  <c r="L21" i="4" s="1"/>
  <c r="K22" i="4"/>
  <c r="L22" i="4" s="1"/>
  <c r="K23" i="4"/>
  <c r="L23" i="4" s="1"/>
  <c r="K25" i="4"/>
  <c r="L25" i="4" s="1"/>
  <c r="K14" i="4"/>
  <c r="L14" i="4" s="1"/>
  <c r="K15" i="4"/>
  <c r="L15" i="4" s="1"/>
  <c r="K16" i="4"/>
  <c r="L16" i="4" s="1"/>
  <c r="K17" i="4"/>
  <c r="L17" i="4" s="1"/>
  <c r="J30" i="4"/>
  <c r="J31" i="4"/>
  <c r="H30" i="4"/>
  <c r="H31" i="4"/>
  <c r="H29" i="4" s="1"/>
  <c r="F30" i="4"/>
  <c r="F31" i="4"/>
  <c r="J21" i="4"/>
  <c r="H21" i="4"/>
  <c r="F21" i="4"/>
  <c r="F20" i="4"/>
  <c r="J16" i="4"/>
  <c r="H16" i="4"/>
  <c r="F16" i="4"/>
  <c r="J15" i="4"/>
  <c r="H15" i="4"/>
  <c r="F15" i="4"/>
  <c r="H20" i="4"/>
  <c r="J20" i="4"/>
  <c r="D106" i="5"/>
  <c r="C106" i="5"/>
  <c r="B106" i="5"/>
  <c r="D94" i="5"/>
  <c r="C94" i="5"/>
  <c r="B94" i="5"/>
  <c r="D59" i="5"/>
  <c r="C59" i="5"/>
  <c r="B59" i="5"/>
  <c r="B5" i="5"/>
  <c r="D26" i="5"/>
  <c r="C26" i="5"/>
  <c r="B26" i="5"/>
  <c r="B4" i="5" s="1"/>
  <c r="H5" i="4"/>
  <c r="H10" i="4"/>
  <c r="F33" i="4"/>
  <c r="F34" i="4"/>
  <c r="F35" i="4"/>
  <c r="J33" i="4"/>
  <c r="J34" i="4"/>
  <c r="J35" i="4"/>
  <c r="H33" i="4"/>
  <c r="H34" i="4"/>
  <c r="H35" i="4"/>
  <c r="J27" i="4"/>
  <c r="J28" i="4"/>
  <c r="H27" i="4"/>
  <c r="H28" i="4"/>
  <c r="J25" i="4"/>
  <c r="J19" i="4"/>
  <c r="J22" i="4"/>
  <c r="J23" i="4"/>
  <c r="H22" i="4"/>
  <c r="H23" i="4"/>
  <c r="H25" i="4"/>
  <c r="H19" i="4"/>
  <c r="J14" i="4"/>
  <c r="J17" i="4"/>
  <c r="H14" i="4"/>
  <c r="H17" i="4"/>
  <c r="J7" i="4"/>
  <c r="J5" i="4"/>
  <c r="J8" i="4"/>
  <c r="J10" i="4"/>
  <c r="J12" i="4"/>
  <c r="H7" i="4"/>
  <c r="H8" i="4"/>
  <c r="H12" i="4"/>
  <c r="F27" i="4"/>
  <c r="F28" i="4"/>
  <c r="F19" i="4"/>
  <c r="F22" i="4"/>
  <c r="F23" i="4"/>
  <c r="F25" i="4"/>
  <c r="F14" i="4"/>
  <c r="F17" i="4"/>
  <c r="F5" i="4"/>
  <c r="F7" i="4"/>
  <c r="F8" i="4"/>
  <c r="F10" i="4"/>
  <c r="F12" i="4"/>
  <c r="K12" i="4"/>
  <c r="H26" i="4" l="1"/>
  <c r="J26" i="4"/>
  <c r="L29" i="4"/>
  <c r="L32" i="4"/>
  <c r="L26" i="4"/>
  <c r="H18" i="4"/>
  <c r="H13" i="4"/>
  <c r="J18" i="4"/>
  <c r="F32" i="4"/>
  <c r="J29" i="4"/>
  <c r="L18" i="4"/>
  <c r="E33" i="9"/>
  <c r="E21" i="10"/>
  <c r="E33" i="10"/>
  <c r="F13" i="4"/>
  <c r="F18" i="4"/>
  <c r="J3" i="4"/>
  <c r="J32" i="4"/>
  <c r="E79" i="9"/>
  <c r="F3" i="4"/>
  <c r="F26" i="4"/>
  <c r="J13" i="4"/>
  <c r="H32" i="4"/>
  <c r="H3" i="4"/>
  <c r="F29" i="4"/>
  <c r="E21" i="9"/>
  <c r="E89" i="9"/>
  <c r="B11" i="5"/>
  <c r="C11" i="5"/>
  <c r="E63" i="10"/>
  <c r="E3" i="10" s="1"/>
  <c r="E5" i="10" s="1"/>
  <c r="E63" i="9"/>
  <c r="L13" i="4"/>
  <c r="L3" i="4"/>
  <c r="D11" i="5"/>
  <c r="J36" i="4" l="1"/>
  <c r="L36" i="4"/>
  <c r="H36" i="4"/>
  <c r="F36" i="4"/>
  <c r="E3" i="9"/>
  <c r="E5" i="9" s="1"/>
  <c r="M26" i="4" l="1"/>
  <c r="M18" i="4"/>
  <c r="M29" i="4"/>
  <c r="M32" i="4"/>
  <c r="M13" i="4"/>
  <c r="M3" i="4"/>
  <c r="M36" i="4" l="1"/>
</calcChain>
</file>

<file path=xl/comments1.xml><?xml version="1.0" encoding="utf-8"?>
<comments xmlns="http://schemas.openxmlformats.org/spreadsheetml/2006/main">
  <authors>
    <author>XS3</author>
  </authors>
  <commentList>
    <comment ref="B5" authorId="0">
      <text>
        <r>
          <rPr>
            <b/>
            <sz val="9"/>
            <color indexed="81"/>
            <rFont val="Tahoma"/>
            <family val="2"/>
          </rPr>
          <t>XS3:</t>
        </r>
        <r>
          <rPr>
            <sz val="9"/>
            <color indexed="81"/>
            <rFont val="Tahoma"/>
            <family val="2"/>
          </rPr>
          <t xml:space="preserve">
Enter x in respective cells. They will automatically become blue</t>
        </r>
      </text>
    </comment>
  </commentList>
</comments>
</file>

<file path=xl/comments2.xml><?xml version="1.0" encoding="utf-8"?>
<comments xmlns="http://schemas.openxmlformats.org/spreadsheetml/2006/main">
  <authors>
    <author>ob1</author>
  </authors>
  <commentList>
    <comment ref="C48" authorId="0">
      <text>
        <r>
          <rPr>
            <b/>
            <sz val="8"/>
            <color indexed="81"/>
            <rFont val="Tahoma"/>
            <family val="2"/>
          </rPr>
          <t>ob1:</t>
        </r>
        <r>
          <rPr>
            <sz val="8"/>
            <color indexed="81"/>
            <rFont val="Tahoma"/>
            <family val="2"/>
          </rPr>
          <t xml:space="preserve">
100 projects from mid 2009, 1 day for every 4</t>
        </r>
      </text>
    </comment>
    <comment ref="D48" authorId="0">
      <text>
        <r>
          <rPr>
            <b/>
            <sz val="8"/>
            <color indexed="81"/>
            <rFont val="Tahoma"/>
            <family val="2"/>
          </rPr>
          <t>ob1:</t>
        </r>
        <r>
          <rPr>
            <sz val="8"/>
            <color indexed="81"/>
            <rFont val="Tahoma"/>
            <family val="2"/>
          </rPr>
          <t xml:space="preserve">
100 projects from mid 2009, 1 day for every 4</t>
        </r>
      </text>
    </comment>
  </commentList>
</comments>
</file>

<file path=xl/comments3.xml><?xml version="1.0" encoding="utf-8"?>
<comments xmlns="http://schemas.openxmlformats.org/spreadsheetml/2006/main">
  <authors>
    <author>ob1</author>
  </authors>
  <commentList>
    <comment ref="C48" authorId="0">
      <text>
        <r>
          <rPr>
            <b/>
            <sz val="8"/>
            <color indexed="81"/>
            <rFont val="Tahoma"/>
            <family val="2"/>
          </rPr>
          <t>ob1:</t>
        </r>
        <r>
          <rPr>
            <sz val="8"/>
            <color indexed="81"/>
            <rFont val="Tahoma"/>
            <family val="2"/>
          </rPr>
          <t xml:space="preserve">
100 projects from mid 2009, 1 day for every 4</t>
        </r>
      </text>
    </comment>
    <comment ref="D48" authorId="0">
      <text>
        <r>
          <rPr>
            <b/>
            <sz val="8"/>
            <color indexed="81"/>
            <rFont val="Tahoma"/>
            <family val="2"/>
          </rPr>
          <t>ob1:</t>
        </r>
        <r>
          <rPr>
            <sz val="8"/>
            <color indexed="81"/>
            <rFont val="Tahoma"/>
            <family val="2"/>
          </rPr>
          <t xml:space="preserve">
100 projects from mid 2009, 1 day for every 4</t>
        </r>
      </text>
    </comment>
  </commentList>
</comments>
</file>

<file path=xl/sharedStrings.xml><?xml version="1.0" encoding="utf-8"?>
<sst xmlns="http://schemas.openxmlformats.org/spreadsheetml/2006/main" count="771" uniqueCount="269">
  <si>
    <t>Assessors</t>
  </si>
  <si>
    <t xml:space="preserve">Unit rate in Euro </t>
  </si>
  <si>
    <t>Project clinics</t>
  </si>
  <si>
    <t>Visibility Conference</t>
  </si>
  <si>
    <t xml:space="preserve">Interpretation </t>
  </si>
  <si>
    <t>Translation</t>
  </si>
  <si>
    <t>Promotional materials</t>
  </si>
  <si>
    <t>Website</t>
  </si>
  <si>
    <t>Total cost</t>
  </si>
  <si>
    <t>1 event x 2 countries (lunch/refreshment 250 participants)</t>
  </si>
  <si>
    <t>TOTAL</t>
  </si>
  <si>
    <t>2 people x 30 days x 2 years x 2 countries</t>
  </si>
  <si>
    <t>Overview</t>
  </si>
  <si>
    <t>Total</t>
  </si>
  <si>
    <t>Activity</t>
  </si>
  <si>
    <t>2. Travel &amp; subsistence costs</t>
  </si>
  <si>
    <t>Share</t>
  </si>
  <si>
    <t># of units</t>
  </si>
  <si>
    <t>Expenses</t>
  </si>
  <si>
    <t>Description of cost</t>
  </si>
  <si>
    <t>Total no. of units planned</t>
  </si>
  <si>
    <t>240 days</t>
  </si>
  <si>
    <t>International travel costs</t>
  </si>
  <si>
    <t>Local travel costs</t>
  </si>
  <si>
    <t>Per diems abroad</t>
  </si>
  <si>
    <t>Per diems local</t>
  </si>
  <si>
    <t>1500 km a month x 3 years</t>
  </si>
  <si>
    <t>54000 km</t>
  </si>
  <si>
    <t>JMC meetings</t>
  </si>
  <si>
    <t>Info days</t>
  </si>
  <si>
    <t>Partner search forum</t>
  </si>
  <si>
    <t>3 events x 2 years x 2 countries (200 participants per event)</t>
  </si>
  <si>
    <t>3 events x 2 years x 2 countries (100 participants per event)</t>
  </si>
  <si>
    <t>3 events x 2 years x 2 countries (50 participants per event)</t>
  </si>
  <si>
    <t>1 event x 3 years</t>
  </si>
  <si>
    <t>6 events</t>
  </si>
  <si>
    <t>3 days x 2 years x 2 countries</t>
  </si>
  <si>
    <t>12 days</t>
  </si>
  <si>
    <t>3 events</t>
  </si>
  <si>
    <t>12 events</t>
  </si>
  <si>
    <t>lump sum per year</t>
  </si>
  <si>
    <t>3 years</t>
  </si>
  <si>
    <t>Audit</t>
  </si>
  <si>
    <t>per service</t>
  </si>
  <si>
    <t>1 service</t>
  </si>
  <si>
    <t>2 events</t>
  </si>
  <si>
    <t>x</t>
  </si>
  <si>
    <t>1. Managing technical assistance</t>
  </si>
  <si>
    <t>2. Calls for Proposals launching phase</t>
  </si>
  <si>
    <t>3. Calls for Proposals evaluation phase</t>
  </si>
  <si>
    <t>4. Project monitoring etc</t>
  </si>
  <si>
    <t>5. Programme monitoring</t>
  </si>
  <si>
    <t>6. Publicity, visibility and information</t>
  </si>
  <si>
    <t>7. Other</t>
  </si>
  <si>
    <t>1.1… (insert individual activiities as indicated in JTS manual)</t>
  </si>
  <si>
    <r>
      <t xml:space="preserve">Annex 2c: Workload calculation for direct management mode (DM)
</t>
    </r>
    <r>
      <rPr>
        <i/>
        <sz val="14"/>
        <color theme="1"/>
        <rFont val="Calibri"/>
        <family val="2"/>
        <scheme val="minor"/>
      </rPr>
      <t>For demostration and illustration purposes.</t>
    </r>
  </si>
  <si>
    <t>WORKLOAD CALCULATION FOR PROGRAMMES 2014-2020 OPERATING UNDER DIRECT MANAGEMENT</t>
  </si>
  <si>
    <t>Total number of days required for operations of the JTS per year:</t>
  </si>
  <si>
    <t>Total number of working days available per year:</t>
  </si>
  <si>
    <t>Required number of staff to adequately perform all tasks listed below:</t>
  </si>
  <si>
    <t>Activity I : Management of technical assistance</t>
  </si>
  <si>
    <t>Applicable (y/n)</t>
  </si>
  <si>
    <t>Variable</t>
  </si>
  <si>
    <t>Value of the variable</t>
  </si>
  <si>
    <t>Total days</t>
  </si>
  <si>
    <t>1. JTS work plan</t>
  </si>
  <si>
    <t>y</t>
  </si>
  <si>
    <t>2. Reports on TA activities performed &amp; costs incurred under the service contract(s)</t>
  </si>
  <si>
    <t>Number of Staff</t>
  </si>
  <si>
    <t>Number of reports</t>
  </si>
  <si>
    <t>2.3 Financial reporting - inception and progress reports (preparation of the financial report - 1 day + control 1 day = 2 days; assistance and discussion with auditors 2 days)</t>
  </si>
  <si>
    <t>2.4 Preparation of monthly reports (3 days for preparing each montly report)</t>
  </si>
  <si>
    <t>Number of monthly reports</t>
  </si>
  <si>
    <t>No of payment requests</t>
  </si>
  <si>
    <t>No of projects implemented</t>
  </si>
  <si>
    <t>No of travels per staff per month</t>
  </si>
  <si>
    <t>No of tenders</t>
  </si>
  <si>
    <t>10. Preparing &amp; negotiating the application form (incl. budget) for the subsequent TAGC and concluding the associated Grant/Service Contract</t>
  </si>
  <si>
    <t>Total Activity I : Management of technical assistance</t>
  </si>
  <si>
    <t>Activity II : Calls for proposals - launching phase</t>
  </si>
  <si>
    <t>1. Work Programme</t>
  </si>
  <si>
    <t>2. Call for Proposals Timetable</t>
  </si>
  <si>
    <t>No of PSFs</t>
  </si>
  <si>
    <t>No of sessions per country</t>
  </si>
  <si>
    <t>No of workshops per country</t>
  </si>
  <si>
    <t>Average No of queries</t>
  </si>
  <si>
    <r>
      <t>9. Group consultation meetings with interested applicants</t>
    </r>
    <r>
      <rPr>
        <sz val="11"/>
        <color rgb="FF0070C0"/>
        <rFont val="Calibri"/>
        <family val="2"/>
        <scheme val="minor"/>
      </rPr>
      <t xml:space="preserve"> (1 day travel x 1 day meeting x No of JTS staff)</t>
    </r>
  </si>
  <si>
    <t>n</t>
  </si>
  <si>
    <t>No of meetings</t>
  </si>
  <si>
    <r>
      <t>10. Individual consultation meetings with interested applicants</t>
    </r>
    <r>
      <rPr>
        <sz val="11"/>
        <color rgb="FF0070C0"/>
        <rFont val="Calibri"/>
        <family val="2"/>
        <scheme val="minor"/>
      </rPr>
      <t xml:space="preserve"> (2 hours preparation and 2 hours meeting x 1 JTS staff)</t>
    </r>
  </si>
  <si>
    <t>Total Activity II : Calls for proposals - launching phase</t>
  </si>
  <si>
    <t>Activity III : Calls for proposals - evaluation phase</t>
  </si>
  <si>
    <t>1. Drafting a proposal for the membership of the Joint Steering Committee/Evaluation Committee</t>
  </si>
  <si>
    <t>1=tender used
2=other option</t>
  </si>
  <si>
    <t>3. Proposal for assessors</t>
  </si>
  <si>
    <t>4. Receipt, registration and storage of proposals</t>
  </si>
  <si>
    <t>Estimated No of proposals received</t>
  </si>
  <si>
    <t>1=restricted call
2=open call</t>
  </si>
  <si>
    <t>Estimated No of projects recommended</t>
  </si>
  <si>
    <t>1=merged with step 1
2=merged with step 2</t>
  </si>
  <si>
    <t>Estimated No of full applications evaluated</t>
  </si>
  <si>
    <t>11. Publicising the award of grants</t>
  </si>
  <si>
    <t>12. Analysing statistical information on the Call for Proposals and measures for improving the quality of applications</t>
  </si>
  <si>
    <t>Total Activity III: Calls for proposals - evaluation phase</t>
  </si>
  <si>
    <t>Activity IV : Project monitoring</t>
  </si>
  <si>
    <t>1. Preparation of implementation package for project beneficiaries</t>
  </si>
  <si>
    <t>1= first time
2=revision</t>
  </si>
  <si>
    <t>No of seminars</t>
  </si>
  <si>
    <t>8. Developing an indicative monitoring visit schedule</t>
  </si>
  <si>
    <t>Total Activity IV : Project monitoring</t>
  </si>
  <si>
    <t>Activity V : Programme monitoring</t>
  </si>
  <si>
    <t>2. Cooperating with external, independent evaluators during programme implementation</t>
  </si>
  <si>
    <t>3. Proposing amendments and revisions to the programming documents</t>
  </si>
  <si>
    <t>No of JMC meetings</t>
  </si>
  <si>
    <t>5. Supply of information to partner countries' OSs for their reporting duties</t>
  </si>
  <si>
    <t>Total Activity V : Programme monitoring</t>
  </si>
  <si>
    <t>Activity VI : Publicity, visibility and information</t>
  </si>
  <si>
    <t>1. Preparing, monitoring, evaluating and updating the Communication Action Plan (CAP)</t>
  </si>
  <si>
    <t>Average No of posts in a month</t>
  </si>
  <si>
    <t>No of events</t>
  </si>
  <si>
    <r>
      <t xml:space="preserve">4. Arranging printed materials and other manufactured or electronic media </t>
    </r>
    <r>
      <rPr>
        <sz val="11"/>
        <rFont val="Calibri"/>
        <family val="2"/>
        <scheme val="minor"/>
      </rPr>
      <t>(a lump-sum value of 5 days a year, negotiating design with the company selected)</t>
    </r>
  </si>
  <si>
    <t>Total Activity VI : Publicity, visibility and information</t>
  </si>
  <si>
    <t>Activity VII : Other</t>
  </si>
  <si>
    <r>
      <t>1. Preparation of documentation for and oversight of joint operations identified outside calls for proposals</t>
    </r>
    <r>
      <rPr>
        <b/>
        <sz val="11"/>
        <color rgb="FFFF0000"/>
        <rFont val="Calibri"/>
        <family val="2"/>
        <scheme val="minor"/>
      </rPr>
      <t xml:space="preserve"> </t>
    </r>
    <r>
      <rPr>
        <sz val="11"/>
        <rFont val="Calibri"/>
        <family val="2"/>
        <scheme val="minor"/>
      </rPr>
      <t>(per operation: 10 days preparation of documentation, 20 days oversight of operations, 5 days revising their reports, 5 days visibility activities)</t>
    </r>
  </si>
  <si>
    <t>p - preparation
o - oversight
r - reports
v - visibility</t>
  </si>
  <si>
    <t>porv</t>
  </si>
  <si>
    <t>2. Reporting irregularities</t>
  </si>
  <si>
    <t>3. Recording and reporting exceptions</t>
  </si>
  <si>
    <t>4. Filing – physical documentation</t>
  </si>
  <si>
    <t>5. Filing – electronic documentation</t>
  </si>
  <si>
    <t>7. Facilitating any monitoring or audit missions related to the TAGCs</t>
  </si>
  <si>
    <t>No of staff</t>
  </si>
  <si>
    <t>Total Activity VII : Other</t>
  </si>
  <si>
    <t>2.1 Timesheets (2 hrs x No of staff = 1 day x 12 months)</t>
  </si>
  <si>
    <r>
      <t>2.2 Narrative reporting - inception, interim and final reports (preparation 5 + control 2 days =</t>
    </r>
    <r>
      <rPr>
        <sz val="11"/>
        <color rgb="FF00B050"/>
        <rFont val="Calibri"/>
        <family val="2"/>
        <scheme val="minor"/>
      </rPr>
      <t xml:space="preserve">7 days </t>
    </r>
    <r>
      <rPr>
        <sz val="11"/>
        <color rgb="FFFF0000"/>
        <rFont val="Calibri"/>
        <family val="2"/>
        <scheme val="minor"/>
      </rPr>
      <t>per report</t>
    </r>
    <r>
      <rPr>
        <sz val="12"/>
        <rFont val="Calibri"/>
        <family val="2"/>
        <scheme val="minor"/>
      </rPr>
      <t>)</t>
    </r>
  </si>
  <si>
    <r>
      <t xml:space="preserve">3. Initiate drafting requests for payment &amp; for amendments to the budget </t>
    </r>
    <r>
      <rPr>
        <sz val="12"/>
        <rFont val="Calibri"/>
        <family val="2"/>
        <scheme val="minor"/>
      </rPr>
      <t>(16 payment requests a month=1 day x 12 months=</t>
    </r>
    <r>
      <rPr>
        <sz val="11"/>
        <color rgb="FF00B050"/>
        <rFont val="Calibri"/>
        <family val="2"/>
        <scheme val="minor"/>
      </rPr>
      <t>12 days</t>
    </r>
    <r>
      <rPr>
        <sz val="12"/>
        <rFont val="Calibri"/>
        <family val="2"/>
        <scheme val="minor"/>
      </rPr>
      <t xml:space="preserve">; 2 notification letters x 2 days = </t>
    </r>
    <r>
      <rPr>
        <sz val="11"/>
        <color rgb="FF00B050"/>
        <rFont val="Calibri"/>
        <family val="2"/>
        <scheme val="minor"/>
      </rPr>
      <t>4 days</t>
    </r>
    <r>
      <rPr>
        <sz val="12"/>
        <rFont val="Calibri"/>
        <family val="2"/>
        <scheme val="minor"/>
      </rPr>
      <t>)</t>
    </r>
  </si>
  <si>
    <r>
      <t>4. Ensuring visibility of outputs produced under TAGCs</t>
    </r>
    <r>
      <rPr>
        <sz val="12"/>
        <rFont val="Calibri"/>
        <family val="2"/>
        <scheme val="minor"/>
      </rPr>
      <t xml:space="preserve"> (contact with media 0.5 days x 12 months=</t>
    </r>
    <r>
      <rPr>
        <sz val="11"/>
        <color rgb="FF00B050"/>
        <rFont val="Calibri"/>
        <family val="2"/>
        <scheme val="minor"/>
      </rPr>
      <t>6 days</t>
    </r>
    <r>
      <rPr>
        <sz val="12"/>
        <rFont val="Calibri"/>
        <family val="2"/>
        <scheme val="minor"/>
      </rPr>
      <t xml:space="preserve">; agreeing design of materials with subcontractors - </t>
    </r>
    <r>
      <rPr>
        <sz val="11"/>
        <color rgb="FF00B050"/>
        <rFont val="Calibri"/>
        <family val="2"/>
        <scheme val="minor"/>
      </rPr>
      <t>3 days</t>
    </r>
    <r>
      <rPr>
        <sz val="12"/>
        <rFont val="Calibri"/>
        <family val="2"/>
        <scheme val="minor"/>
      </rPr>
      <t>; attending beneficiaries' visibility events: 10 projects x 2 days=</t>
    </r>
    <r>
      <rPr>
        <sz val="11"/>
        <color rgb="FF00B050"/>
        <rFont val="Calibri"/>
        <family val="2"/>
        <scheme val="minor"/>
      </rPr>
      <t>20 days</t>
    </r>
    <r>
      <rPr>
        <sz val="12"/>
        <rFont val="Calibri"/>
        <family val="2"/>
        <scheme val="minor"/>
      </rPr>
      <t>; updating programme website: 2 days x 12 months=</t>
    </r>
    <r>
      <rPr>
        <sz val="11"/>
        <color rgb="FF00B050"/>
        <rFont val="Calibri"/>
        <family val="2"/>
        <scheme val="minor"/>
      </rPr>
      <t>24 days</t>
    </r>
    <r>
      <rPr>
        <sz val="12"/>
        <rFont val="Calibri"/>
        <family val="2"/>
        <scheme val="minor"/>
      </rPr>
      <t>)</t>
    </r>
  </si>
  <si>
    <r>
      <t>5. Prior approval of costs associated with the work of JTS staff</t>
    </r>
    <r>
      <rPr>
        <sz val="12"/>
        <rFont val="Calibri"/>
        <family val="2"/>
        <scheme val="minor"/>
      </rPr>
      <t xml:space="preserve"> (No of </t>
    </r>
    <r>
      <rPr>
        <sz val="11"/>
        <rFont val="Calibri"/>
        <family val="2"/>
        <scheme val="minor"/>
      </rPr>
      <t>JTS staff</t>
    </r>
    <r>
      <rPr>
        <sz val="12"/>
        <rFont val="Calibri"/>
        <family val="2"/>
        <scheme val="minor"/>
      </rPr>
      <t xml:space="preserve"> x 2 requests x 0.25 hrs x 12 months)</t>
    </r>
  </si>
  <si>
    <r>
      <t>6. Claims for the payment of salaries of the JTS staff &amp; costs associated with their work</t>
    </r>
    <r>
      <rPr>
        <sz val="12"/>
        <rFont val="Calibri"/>
        <family val="2"/>
        <scheme val="minor"/>
      </rPr>
      <t xml:space="preserve"> (No of</t>
    </r>
    <r>
      <rPr>
        <sz val="11"/>
        <color rgb="FFFF0000"/>
        <rFont val="Calibri"/>
        <family val="2"/>
        <scheme val="minor"/>
      </rPr>
      <t xml:space="preserve"> </t>
    </r>
    <r>
      <rPr>
        <sz val="11"/>
        <rFont val="Calibri"/>
        <family val="2"/>
        <scheme val="minor"/>
      </rPr>
      <t xml:space="preserve">JTS staff </t>
    </r>
    <r>
      <rPr>
        <sz val="12"/>
        <rFont val="Calibri"/>
        <family val="2"/>
        <scheme val="minor"/>
      </rPr>
      <t>x 2 requests x 0.5 hrs x 12 months)</t>
    </r>
  </si>
  <si>
    <r>
      <t>7. Preparing procurement documentation for supplies or services under TAGCs</t>
    </r>
    <r>
      <rPr>
        <sz val="12"/>
        <rFont val="Calibri"/>
        <family val="2"/>
        <scheme val="minor"/>
      </rPr>
      <t xml:space="preserve"> (No of tenders x 3 days)</t>
    </r>
  </si>
  <si>
    <r>
      <t>8. Assistance in procuring supplies and/or services under TAGCs</t>
    </r>
    <r>
      <rPr>
        <sz val="12"/>
        <rFont val="Calibri"/>
        <family val="2"/>
        <scheme val="minor"/>
      </rPr>
      <t xml:space="preserve"> (No of tenders x 0.5 days)</t>
    </r>
  </si>
  <si>
    <r>
      <t>9. Managing contracts for supplies or services under TAGCs</t>
    </r>
    <r>
      <rPr>
        <sz val="12"/>
        <rFont val="Calibri"/>
        <family val="2"/>
        <scheme val="minor"/>
      </rPr>
      <t xml:space="preserve"> (No of tenders x 1 day)</t>
    </r>
  </si>
  <si>
    <r>
      <t>3. Partner Search Forums</t>
    </r>
    <r>
      <rPr>
        <sz val="12"/>
        <rFont val="Calibri"/>
        <family val="2"/>
        <scheme val="minor"/>
      </rPr>
      <t xml:space="preserve"> (2 PSFs for each CfP x 5 days = </t>
    </r>
    <r>
      <rPr>
        <sz val="11"/>
        <color rgb="FF00B050"/>
        <rFont val="Calibri"/>
        <family val="2"/>
        <scheme val="minor"/>
      </rPr>
      <t>10 days</t>
    </r>
    <r>
      <rPr>
        <sz val="12"/>
        <rFont val="Calibri"/>
        <family val="2"/>
        <scheme val="minor"/>
      </rPr>
      <t>) applicable only if launch of a CfP is planned for that year</t>
    </r>
  </si>
  <si>
    <r>
      <t xml:space="preserve">4. Drafting calls for proposals and related documentation (application packs) </t>
    </r>
    <r>
      <rPr>
        <sz val="12"/>
        <rFont val="Calibri"/>
        <family val="2"/>
        <scheme val="minor"/>
      </rPr>
      <t>applicable only if launch of a CfP is planned for that year</t>
    </r>
  </si>
  <si>
    <r>
      <t xml:space="preserve">5. Publication/upload to the programme website - </t>
    </r>
    <r>
      <rPr>
        <sz val="12"/>
        <rFont val="Calibri"/>
        <family val="2"/>
        <scheme val="minor"/>
      </rPr>
      <t>applicable only if launch of a CfP is planned for that year</t>
    </r>
  </si>
  <si>
    <r>
      <t>6. Information sessions</t>
    </r>
    <r>
      <rPr>
        <sz val="12"/>
        <rFont val="Calibri"/>
        <family val="2"/>
        <scheme val="minor"/>
      </rPr>
      <t xml:space="preserve"> (No of information sessions per country x 2 days (1 day travel and 1 day organisation) * No of JTS staff + 0,5 days preparing materials, 0,5 day reporting and filing) - Applicable only if launch of a CfP is planned for that year</t>
    </r>
  </si>
  <si>
    <r>
      <t>7. Workshops for potential applicants</t>
    </r>
    <r>
      <rPr>
        <sz val="12"/>
        <rFont val="Calibri"/>
        <family val="2"/>
        <scheme val="minor"/>
      </rPr>
      <t xml:space="preserve"> (No of workshops per country x 3 days - 1 day travel and 2 days organisation * No of JTS staff  + 5 days preparing materials, 1 day reporting and filing)</t>
    </r>
  </si>
  <si>
    <r>
      <t>8. Answering queries from interested applicants</t>
    </r>
    <r>
      <rPr>
        <sz val="12"/>
        <rFont val="Calibri"/>
        <family val="2"/>
        <scheme val="minor"/>
      </rPr>
      <t xml:space="preserve"> (80 queries x 0.5 hrs = </t>
    </r>
    <r>
      <rPr>
        <sz val="11"/>
        <color rgb="FF00B050"/>
        <rFont val="Calibri"/>
        <family val="2"/>
        <scheme val="minor"/>
      </rPr>
      <t>5 days</t>
    </r>
    <r>
      <rPr>
        <sz val="12"/>
        <rFont val="Calibri"/>
        <family val="2"/>
        <scheme val="minor"/>
      </rPr>
      <t>) - Applicable only if launch of a CfP is planned for that year</t>
    </r>
  </si>
  <si>
    <r>
      <t xml:space="preserve">2. Arranging for hiring of assessors </t>
    </r>
    <r>
      <rPr>
        <sz val="12"/>
        <rFont val="Calibri"/>
        <family val="2"/>
        <scheme val="minor"/>
      </rPr>
      <t>(1 day for preparing ToR that is required in any case and 2 days for preparing tender dossier and implement the tender procedure)</t>
    </r>
  </si>
  <si>
    <r>
      <t xml:space="preserve">5a. Secretarial duties for the opening session, administrative check </t>
    </r>
    <r>
      <rPr>
        <sz val="12"/>
        <rFont val="Calibri"/>
        <family val="2"/>
        <scheme val="minor"/>
      </rPr>
      <t>(1.5 hrs per proposal for opening and admin check (including requests for clarifications) in case of an open call, or 45 mins per proposal in case of a restricted call + 1 day arranging JSC mtgs + 3 days compiling the report + (</t>
    </r>
    <r>
      <rPr>
        <sz val="11"/>
        <rFont val="Calibri"/>
        <family val="2"/>
        <scheme val="minor"/>
      </rPr>
      <t>3 days travel + 3 days participating at the mtgs</t>
    </r>
    <r>
      <rPr>
        <sz val="12"/>
        <rFont val="Calibri"/>
        <family val="2"/>
        <scheme val="minor"/>
      </rPr>
      <t>)*</t>
    </r>
    <r>
      <rPr>
        <sz val="11"/>
        <color rgb="FFFF0000"/>
        <rFont val="Calibri"/>
        <family val="2"/>
        <scheme val="minor"/>
      </rPr>
      <t>3 JTS staff</t>
    </r>
    <r>
      <rPr>
        <sz val="12"/>
        <rFont val="Calibri"/>
        <family val="2"/>
        <scheme val="minor"/>
      </rPr>
      <t>)</t>
    </r>
  </si>
  <si>
    <r>
      <t xml:space="preserve">5b. Secretarial duties for the concept note evaluation </t>
    </r>
    <r>
      <rPr>
        <sz val="12"/>
        <rFont val="Calibri"/>
        <family val="2"/>
        <scheme val="minor"/>
      </rPr>
      <t>(0.5 hrs per proposal for checking evaluation grids and summarising the scores + 1 day arranging JSC mtgs + 3 days compiling the report + (3 days travel + 3 days participating at the mtgs)</t>
    </r>
  </si>
  <si>
    <r>
      <t xml:space="preserve">5.c. Drafting letters notifying applicants on the status of their project </t>
    </r>
    <r>
      <rPr>
        <sz val="12"/>
        <rFont val="Calibri"/>
        <family val="2"/>
        <scheme val="minor"/>
      </rPr>
      <t>(No of projects received x 0.5 days per letter for drafting and cross-checking)</t>
    </r>
  </si>
  <si>
    <r>
      <t xml:space="preserve">5.d. Signing and dispatching letters notifying applicants </t>
    </r>
    <r>
      <rPr>
        <sz val="12"/>
        <rFont val="Calibri"/>
        <family val="2"/>
        <scheme val="minor"/>
      </rPr>
      <t>(No of projects approved x 0.2 days per letter for signing, dispatching and checking if received)</t>
    </r>
  </si>
  <si>
    <r>
      <t>6. Secretarial duties for the evaluation of full application forms</t>
    </r>
    <r>
      <rPr>
        <sz val="12"/>
        <rFont val="Calibri"/>
        <family val="2"/>
        <scheme val="minor"/>
      </rPr>
      <t xml:space="preserve"> (0.75 hrs per proposal for checking evaluation grids and summarising the scores + 1 day arranging JSC mtgs + 3 days compiling the report + (</t>
    </r>
    <r>
      <rPr>
        <sz val="11"/>
        <rFont val="Calibri"/>
        <family val="2"/>
        <scheme val="minor"/>
      </rPr>
      <t>3 days travel + 3 days participating at the mtgs</t>
    </r>
    <r>
      <rPr>
        <sz val="12"/>
        <rFont val="Calibri"/>
        <family val="2"/>
        <scheme val="minor"/>
      </rPr>
      <t>)</t>
    </r>
  </si>
  <si>
    <r>
      <t>7. Secretarial duties for the verification of eligibility, conclusions of the evaluation committee and production of the final evaluation report</t>
    </r>
    <r>
      <rPr>
        <sz val="12"/>
        <rFont val="Calibri"/>
        <family val="2"/>
        <scheme val="minor"/>
      </rPr>
      <t xml:space="preserve"> (0.5 hrs per proposal for verification of eligibility; no additional time for mtgs and reports since this step should always be merged with other steps of the evaluation)</t>
    </r>
  </si>
  <si>
    <r>
      <t xml:space="preserve">8. Drafting letters notifying applicants on the grant award or rejection of their project </t>
    </r>
    <r>
      <rPr>
        <sz val="12"/>
        <rFont val="Calibri"/>
        <family val="2"/>
        <scheme val="minor"/>
      </rPr>
      <t>(No of projects received x 0.5 days per letter for drafting and cross-checking)</t>
    </r>
  </si>
  <si>
    <r>
      <t xml:space="preserve">9. Signing and dispatching letters notifying applicants </t>
    </r>
    <r>
      <rPr>
        <sz val="12"/>
        <rFont val="Calibri"/>
        <family val="2"/>
        <scheme val="minor"/>
      </rPr>
      <t>(No of projects approved x 0.2 days per letter for signing, dispatching and checking if received)</t>
    </r>
  </si>
  <si>
    <r>
      <t>10. Budgetary clearing and contracting</t>
    </r>
    <r>
      <rPr>
        <sz val="12"/>
        <rFont val="Calibri"/>
        <family val="2"/>
        <scheme val="minor"/>
      </rPr>
      <t xml:space="preserve"> (1 day per proposal for creating initial budget clearing table + 2 days per proposal for concultations with the CA and the beneficiary; this includes time needed for setting up a meeting, if necessary)</t>
    </r>
  </si>
  <si>
    <r>
      <t xml:space="preserve">2. Implementation of seminars for project beneficiaries </t>
    </r>
    <r>
      <rPr>
        <sz val="12"/>
        <rFont val="Calibri"/>
        <family val="2"/>
        <scheme val="minor"/>
      </rPr>
      <t xml:space="preserve">(No of implementation seminars x 3 days  (1 day travel and 2 day organisation) * No of JTS staff + </t>
    </r>
    <r>
      <rPr>
        <sz val="11"/>
        <rFont val="Calibri"/>
        <family val="2"/>
        <scheme val="minor"/>
      </rPr>
      <t>5</t>
    </r>
    <r>
      <rPr>
        <sz val="11"/>
        <color rgb="FFFFC000"/>
        <rFont val="Calibri"/>
        <family val="2"/>
        <scheme val="minor"/>
      </rPr>
      <t xml:space="preserve"> </t>
    </r>
    <r>
      <rPr>
        <sz val="11"/>
        <rFont val="Calibri"/>
        <family val="2"/>
        <scheme val="minor"/>
      </rPr>
      <t>days preparing materials, 1 day reporting and filing)</t>
    </r>
  </si>
  <si>
    <r>
      <t>3. Opening and maintaining a file for each project</t>
    </r>
    <r>
      <rPr>
        <sz val="12"/>
        <rFont val="Calibri"/>
        <family val="2"/>
        <scheme val="minor"/>
      </rPr>
      <t xml:space="preserve"> (average 2 days per project during the entire implementation period)</t>
    </r>
  </si>
  <si>
    <r>
      <t>4. Help line for project beneficiaries</t>
    </r>
    <r>
      <rPr>
        <sz val="12"/>
        <rFont val="Calibri"/>
        <family val="2"/>
        <scheme val="minor"/>
      </rPr>
      <t xml:space="preserve"> (No of projects * (2 days commenting reports + 3 days various consultations))</t>
    </r>
  </si>
  <si>
    <r>
      <t xml:space="preserve">5. Advice on secondary procurement under grant contracts </t>
    </r>
    <r>
      <rPr>
        <sz val="12"/>
        <rFont val="Calibri"/>
        <family val="2"/>
        <scheme val="minor"/>
      </rPr>
      <t>(No of projects * 10 tenders requiring consultations * 1 day)</t>
    </r>
  </si>
  <si>
    <r>
      <t>6. Early warning assessment of all projects and follow-up</t>
    </r>
    <r>
      <rPr>
        <sz val="12"/>
        <rFont val="Calibri"/>
        <family val="2"/>
        <scheme val="minor"/>
      </rPr>
      <t xml:space="preserve"> (No of projects * 2 days during the entire implementation period)</t>
    </r>
  </si>
  <si>
    <r>
      <t xml:space="preserve">7. Progress reports check and follow-up </t>
    </r>
    <r>
      <rPr>
        <sz val="12"/>
        <rFont val="Calibri"/>
        <family val="2"/>
        <scheme val="minor"/>
      </rPr>
      <t>(No of projects * 2 days during the entire implementation period)</t>
    </r>
  </si>
  <si>
    <r>
      <t>9. Conducting monitoring visits</t>
    </r>
    <r>
      <rPr>
        <sz val="12"/>
        <rFont val="Calibri"/>
        <family val="2"/>
        <scheme val="minor"/>
      </rPr>
      <t xml:space="preserve"> (</t>
    </r>
    <r>
      <rPr>
        <sz val="11"/>
        <color rgb="FFFF0000"/>
        <rFont val="Calibri"/>
        <family val="2"/>
        <scheme val="minor"/>
      </rPr>
      <t>3 visits</t>
    </r>
    <r>
      <rPr>
        <sz val="12"/>
        <rFont val="Calibri"/>
        <family val="2"/>
        <scheme val="minor"/>
      </rPr>
      <t xml:space="preserve"> a year per project: 1 day travel + 1 day compliance check + 1 day interviews for ROM monitoring)</t>
    </r>
  </si>
  <si>
    <r>
      <t>10. Drafting monitoring visit reports and follow-up</t>
    </r>
    <r>
      <rPr>
        <sz val="12"/>
        <rFont val="Calibri"/>
        <family val="2"/>
        <scheme val="minor"/>
      </rPr>
      <t xml:space="preserve"> (1 day preparing reports + 1 day follow up per each visit)</t>
    </r>
  </si>
  <si>
    <r>
      <t>11. Keeping relevant up-to-date project information in electronic form</t>
    </r>
    <r>
      <rPr>
        <sz val="12"/>
        <rFont val="Calibri"/>
        <family val="2"/>
        <scheme val="minor"/>
      </rPr>
      <t xml:space="preserve"> (0.5 days a project per year)</t>
    </r>
  </si>
  <si>
    <r>
      <t>1. Preparation of Annual and Final Implementation Reports</t>
    </r>
    <r>
      <rPr>
        <sz val="12"/>
        <rFont val="Calibri"/>
        <family val="2"/>
        <scheme val="minor"/>
      </rPr>
      <t xml:space="preserve"> (3 days gathering information, 15 days preparing the report, 2 days preparing the annexes)</t>
    </r>
  </si>
  <si>
    <r>
      <t>4. Performing the duties of the secretariat of the JMC</t>
    </r>
    <r>
      <rPr>
        <sz val="12"/>
        <rFont val="Calibri"/>
        <family val="2"/>
        <scheme val="minor"/>
      </rPr>
      <t xml:space="preserve"> (No of JMC meetings * (1 day preparing documents, 2 days * No of</t>
    </r>
    <r>
      <rPr>
        <sz val="11"/>
        <rFont val="Calibri"/>
        <family val="2"/>
        <scheme val="minor"/>
      </rPr>
      <t xml:space="preserve"> JTS staff travel </t>
    </r>
    <r>
      <rPr>
        <sz val="12"/>
        <rFont val="Calibri"/>
        <family val="2"/>
        <scheme val="minor"/>
      </rPr>
      <t>and organisation of a meeting, 2 days preparing and finalising meeting minutes))</t>
    </r>
  </si>
  <si>
    <r>
      <t xml:space="preserve">2. Maintenance of a programme website </t>
    </r>
    <r>
      <rPr>
        <sz val="12"/>
        <rFont val="Calibri"/>
        <family val="2"/>
        <scheme val="minor"/>
      </rPr>
      <t>(during 12 months, 0.2 days per post)</t>
    </r>
  </si>
  <si>
    <r>
      <t>3. Organising information and publicity events</t>
    </r>
    <r>
      <rPr>
        <sz val="12"/>
        <rFont val="Calibri"/>
        <family val="2"/>
        <scheme val="minor"/>
      </rPr>
      <t xml:space="preserve"> (No of events * (3 days preparation + 1 day reporting + </t>
    </r>
    <r>
      <rPr>
        <sz val="11"/>
        <rFont val="Calibri"/>
        <family val="2"/>
        <scheme val="minor"/>
      </rPr>
      <t>No of JTS staff</t>
    </r>
    <r>
      <rPr>
        <sz val="11"/>
        <color rgb="FFFF0000"/>
        <rFont val="Calibri"/>
        <family val="2"/>
        <scheme val="minor"/>
      </rPr>
      <t xml:space="preserve"> </t>
    </r>
    <r>
      <rPr>
        <sz val="12"/>
        <rFont val="Calibri"/>
        <family val="2"/>
        <scheme val="minor"/>
      </rPr>
      <t>* 1 day travel and 1 day organisation)</t>
    </r>
  </si>
  <si>
    <r>
      <t xml:space="preserve">5. Ensuring programme visibility and compliance with visual identity rules </t>
    </r>
    <r>
      <rPr>
        <sz val="12"/>
        <rFont val="Calibri"/>
        <family val="2"/>
        <scheme val="minor"/>
      </rPr>
      <t>(during 12 months, 2 days per month)</t>
    </r>
  </si>
  <si>
    <r>
      <t>6. Establishing and maintaining databases and supplying data</t>
    </r>
    <r>
      <rPr>
        <sz val="12"/>
        <rFont val="Calibri"/>
        <family val="2"/>
        <scheme val="minor"/>
      </rPr>
      <t xml:space="preserve"> (2 days * 12 months)</t>
    </r>
  </si>
  <si>
    <r>
      <t>7. Handling media inquires</t>
    </r>
    <r>
      <rPr>
        <sz val="12"/>
        <rFont val="Calibri"/>
        <family val="2"/>
        <scheme val="minor"/>
      </rPr>
      <t xml:space="preserve"> (0.5 days * 12 months)</t>
    </r>
  </si>
  <si>
    <r>
      <t xml:space="preserve">6. Client enquiries that do not fall into any of the above mentioned tasks </t>
    </r>
    <r>
      <rPr>
        <sz val="12"/>
        <rFont val="Calibri"/>
        <family val="2"/>
        <scheme val="minor"/>
      </rPr>
      <t>(visitors, potential applicants calling, potential interships negotiations, open days, offering advertisements, communication with EC in Brussels, communication with EUDs, OSs, etc)</t>
    </r>
  </si>
  <si>
    <r>
      <t>8. Attending coordination meetings with the OS</t>
    </r>
    <r>
      <rPr>
        <sz val="12"/>
        <rFont val="Calibri"/>
        <family val="2"/>
        <scheme val="minor"/>
      </rPr>
      <t xml:space="preserve"> (all JTS staff attend meetings organised by the OS on regular basis - every 2 months: No of JTS staff x 1.5 days x 6 times a year)</t>
    </r>
  </si>
  <si>
    <r>
      <t xml:space="preserve">Annex 2d: Workload calculation for indirect management mode (IM)
</t>
    </r>
    <r>
      <rPr>
        <i/>
        <sz val="14"/>
        <color theme="1"/>
        <rFont val="Calibri"/>
        <family val="2"/>
        <scheme val="minor"/>
      </rPr>
      <t>For demostration and illustration purposes.</t>
    </r>
  </si>
  <si>
    <t>WORKLOAD CALCULATION FOR PROGRAMMES 2014-2020 OPERATING UNDER INDIRECT MANAGEMENT</t>
  </si>
  <si>
    <t>No of operations</t>
  </si>
  <si>
    <r>
      <t xml:space="preserve">8. Addressing ad-hoc requests from EUDs related to programme implementation </t>
    </r>
    <r>
      <rPr>
        <sz val="12"/>
        <rFont val="Calibri"/>
        <family val="2"/>
        <scheme val="minor"/>
      </rPr>
      <t>(e.g. collecting and providing information and documentation)</t>
    </r>
  </si>
  <si>
    <r>
      <t>9. Attending coordination meetings with the OS</t>
    </r>
    <r>
      <rPr>
        <sz val="12"/>
        <rFont val="Calibri"/>
        <family val="2"/>
        <scheme val="minor"/>
      </rPr>
      <t xml:space="preserve"> (all JTS staff attend meetings organised by the OS on regular basis - every 2 months: No of JTS staff x 1.5 days x 6 times a year)</t>
    </r>
  </si>
  <si>
    <t>I Management of technical assistance</t>
  </si>
  <si>
    <t>II Calls for proposals - launching phase</t>
  </si>
  <si>
    <t>3. Initiate drafting requests for payment &amp; for amendments to the budget</t>
  </si>
  <si>
    <t>4. Ensuring visibility of outputs produced under TAGCs</t>
  </si>
  <si>
    <t>5. Prior approval of costs associated with the work of JTS staff</t>
  </si>
  <si>
    <t xml:space="preserve">6. Claims for the payment of salaries of the JTS staff &amp; costs associated with their work </t>
  </si>
  <si>
    <t>7. Preparing procurement documentation for supplies or services under TASCs</t>
  </si>
  <si>
    <t>8. Answering queries from interested applicants</t>
  </si>
  <si>
    <t>III Calls for proposals - evaluation phase</t>
  </si>
  <si>
    <t>IV Project monitoring</t>
  </si>
  <si>
    <t>V Programme monitoring</t>
  </si>
  <si>
    <t>VI Publicity, visibility and information</t>
  </si>
  <si>
    <t>VII Other</t>
  </si>
  <si>
    <t>3. Partner Search Forums</t>
  </si>
  <si>
    <t>4. Drafting calls for proposals and related documentation (application packs)</t>
  </si>
  <si>
    <t>5. Publication/upload to the programme website</t>
  </si>
  <si>
    <t>6. Information sessions</t>
  </si>
  <si>
    <t>7. Workshops for potential applicants</t>
  </si>
  <si>
    <t>8. Assistance in procuring supplies and/or services under TASCs</t>
  </si>
  <si>
    <t>9. Managing contracts for supplies or services under TASCs</t>
  </si>
  <si>
    <t>10. Preparing &amp; negotiating the application form (incl. budget) for the subsequent TASC and concluding the associated Grant/Service Contract</t>
  </si>
  <si>
    <t>2. Arranging for hiring of assessors</t>
  </si>
  <si>
    <t>5a. Secretarial duties for the opening session, administrative check</t>
  </si>
  <si>
    <t>5b. Secretarial duties for the concept note evaluation</t>
  </si>
  <si>
    <t>5.c. Drafting letters notifying applicants on the status of their project</t>
  </si>
  <si>
    <t>5.d. Signing and dispatching letters notifying applicants</t>
  </si>
  <si>
    <t>6. Secretarial duties for the evaluation of full application forms</t>
  </si>
  <si>
    <t>7. Secretarial duties for the verification of eligibility, conclusions of the evaluation committee and production of the final evaluation report</t>
  </si>
  <si>
    <t>8. Drafting letters notifying applicants on the grant award or rejection of their project</t>
  </si>
  <si>
    <t>9. Signing and dispatching letters notifying applicants</t>
  </si>
  <si>
    <t>10. Budgetary clearing and contracting</t>
  </si>
  <si>
    <t>2. Implementation of seminars for project beneficiaries</t>
  </si>
  <si>
    <t>3. Opening and maintaining a file for each project</t>
  </si>
  <si>
    <t>4. Help line for project beneficiaries</t>
  </si>
  <si>
    <t>5. Advice on secondary procurement under grant contracts</t>
  </si>
  <si>
    <t>6. Early warning assessment of all projects and follow-up</t>
  </si>
  <si>
    <t>7. Progress reports check and follow-up</t>
  </si>
  <si>
    <t>9. Conducting monitoring visits</t>
  </si>
  <si>
    <t>10. Drafting monitoring visit reports and follow-up</t>
  </si>
  <si>
    <t>11. Keeping relevant up-to-date project information in electronic form</t>
  </si>
  <si>
    <t>1. Preparation of Annual and Final Implementation Reports</t>
  </si>
  <si>
    <t>4. Performing the duties of the secretariat of the JMC</t>
  </si>
  <si>
    <t>2. Maintenance of a programme website</t>
  </si>
  <si>
    <t>3. Organising information and publicity events</t>
  </si>
  <si>
    <t>4. Arranging printed materials and other manufactured or electronic media</t>
  </si>
  <si>
    <t>5. Ensuring programme visibility and compliance with visual identity rules</t>
  </si>
  <si>
    <t>6. Establishing and maintaining databases and supplying data</t>
  </si>
  <si>
    <t>7. Handling media inquires</t>
  </si>
  <si>
    <t>1. Preparation of documentation for and oversight of joint operations identified outside calls for proposals</t>
  </si>
  <si>
    <t>6. Client enquiries that do not fall into any of the above mentioned tasks</t>
  </si>
  <si>
    <t>8. Attending coordination meetings with the OS</t>
  </si>
  <si>
    <t>9. Group consultation meetings with interested applicants</t>
  </si>
  <si>
    <t>10. Individual consultation meetings with interested applicants</t>
  </si>
  <si>
    <t>8. Addressing ad-hoc requests from EUDs related to programme implementation</t>
  </si>
  <si>
    <t>9. Attending coordination meetings with the OS</t>
  </si>
  <si>
    <t>JTS Work Plan 2016-2018 - BUDGET</t>
  </si>
  <si>
    <t>ALL YEARS</t>
  </si>
  <si>
    <t>1 person x 660 days</t>
  </si>
  <si>
    <t>660 days</t>
  </si>
  <si>
    <t>1. Fees (including overheads)</t>
  </si>
  <si>
    <t>JTS Task Manager</t>
  </si>
  <si>
    <t>Key experts</t>
  </si>
  <si>
    <t>Non-key experts</t>
  </si>
  <si>
    <t>1 person x 440 days</t>
  </si>
  <si>
    <t>440 days</t>
  </si>
  <si>
    <t>Antenna</t>
  </si>
  <si>
    <t>JTS Publicity and Information Officer</t>
  </si>
  <si>
    <t>Head of JTS</t>
  </si>
  <si>
    <t>JTS Financial and Administrative Assistant</t>
  </si>
  <si>
    <t>1000 km a month x 3 years</t>
  </si>
  <si>
    <t>36000 km</t>
  </si>
  <si>
    <t>150 per diems</t>
  </si>
  <si>
    <t>15 per diems x 3 years x 5 people</t>
  </si>
  <si>
    <t>10 per diems x 3 years x 5 people</t>
  </si>
  <si>
    <t>225 per diems</t>
  </si>
  <si>
    <t>3. Meetings &amp; training</t>
  </si>
  <si>
    <t>4. Interpretation &amp; translation</t>
  </si>
  <si>
    <t>5. Evaluation &amp; audit</t>
  </si>
  <si>
    <t>6.  Publicity &amp; visibility</t>
  </si>
  <si>
    <t>1 meeting x 3 years x 2 countries (lunch + venue for 30 participants per event)</t>
  </si>
  <si>
    <t>Workshops for applicants</t>
  </si>
  <si>
    <t>Workshops for grant beneficiaries</t>
  </si>
  <si>
    <t>Mid term evaluation (where appropriate)</t>
  </si>
  <si>
    <t>per service (at least 6 reports)</t>
  </si>
  <si>
    <t>6 reports</t>
  </si>
  <si>
    <t>Capacity building events for management structures</t>
  </si>
  <si>
    <t>1 event x 3 years (20 participants per event)</t>
  </si>
  <si>
    <r>
      <t xml:space="preserve">Number of staff required - </t>
    </r>
    <r>
      <rPr>
        <sz val="8"/>
        <rFont val="Arial"/>
        <family val="2"/>
      </rPr>
      <t>No of days/215 (total number of work days in a year)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</si>
</sst>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2]\ #,##0_);[Red]\([$€-2]\ #,##0\)"/>
    <numFmt numFmtId="165" formatCode="[$€-2]\ #,##0"/>
    <numFmt numFmtId="166" formatCode="[$€-2]\ #,##0.00"/>
    <numFmt numFmtId="167" formatCode="_([$€]* #,##0.00_);_([$€]* \(#,##0.00\);_([$€]* &quot;-&quot;??_);_(@_)"/>
  </numFmts>
  <fonts count="40">
    <font>
      <sz val="12"/>
      <name val="宋体"/>
      <charset val="134"/>
    </font>
    <font>
      <sz val="12"/>
      <name val="宋体"/>
      <charset val="134"/>
    </font>
    <font>
      <sz val="9"/>
      <name val="宋体"/>
      <charset val="134"/>
    </font>
    <font>
      <sz val="11"/>
      <name val="Arial Narrow"/>
      <family val="2"/>
    </font>
    <font>
      <b/>
      <sz val="11"/>
      <name val="Arial Narrow"/>
      <family val="2"/>
    </font>
    <font>
      <b/>
      <sz val="10"/>
      <name val="Arial"/>
      <family val="2"/>
    </font>
    <font>
      <sz val="10"/>
      <name val="Arial"/>
      <family val="2"/>
    </font>
    <font>
      <b/>
      <i/>
      <sz val="11"/>
      <name val="Arial Narrow"/>
      <family val="2"/>
    </font>
    <font>
      <sz val="8"/>
      <name val="宋体"/>
      <charset val="134"/>
    </font>
    <font>
      <b/>
      <sz val="8"/>
      <name val="Arial"/>
      <family val="2"/>
    </font>
    <font>
      <sz val="8"/>
      <name val="Arial"/>
      <family val="2"/>
    </font>
    <font>
      <b/>
      <sz val="8"/>
      <color indexed="81"/>
      <name val="Tahoma"/>
      <family val="2"/>
    </font>
    <font>
      <sz val="8"/>
      <color indexed="81"/>
      <name val="Tahoma"/>
      <family val="2"/>
    </font>
    <font>
      <sz val="8"/>
      <name val="Arial Narrow"/>
      <family val="2"/>
    </font>
    <font>
      <b/>
      <sz val="8"/>
      <name val="Arial Narrow"/>
      <family val="2"/>
    </font>
    <font>
      <i/>
      <sz val="8"/>
      <name val="Arial Narrow"/>
      <family val="2"/>
    </font>
    <font>
      <b/>
      <sz val="10"/>
      <name val="Arial Narrow"/>
      <family val="2"/>
    </font>
    <font>
      <sz val="10"/>
      <name val="Arial Narrow"/>
      <family val="2"/>
    </font>
    <font>
      <b/>
      <sz val="12"/>
      <name val="Arial Narrow"/>
      <family val="2"/>
    </font>
    <font>
      <b/>
      <sz val="9"/>
      <name val="Arial"/>
      <family val="2"/>
    </font>
    <font>
      <b/>
      <i/>
      <sz val="10"/>
      <name val="Arial Narrow"/>
      <family val="2"/>
    </font>
    <font>
      <i/>
      <sz val="11"/>
      <name val="Arial Narrow"/>
      <family val="2"/>
    </font>
    <font>
      <b/>
      <sz val="14"/>
      <color theme="1"/>
      <name val="Calibri"/>
      <family val="2"/>
      <scheme val="minor"/>
    </font>
    <font>
      <i/>
      <sz val="14"/>
      <color theme="1"/>
      <name val="Calibri"/>
      <family val="2"/>
      <scheme val="minor"/>
    </font>
    <font>
      <b/>
      <sz val="13"/>
      <color theme="0"/>
      <name val="Calibri"/>
      <family val="2"/>
      <scheme val="minor"/>
    </font>
    <font>
      <b/>
      <sz val="11"/>
      <color theme="1"/>
      <name val="Calibri"/>
      <family val="2"/>
      <scheme val="minor"/>
    </font>
    <font>
      <b/>
      <sz val="11"/>
      <color rgb="FFFF0000"/>
      <name val="Calibri"/>
      <family val="2"/>
      <scheme val="minor"/>
    </font>
    <font>
      <b/>
      <sz val="11"/>
      <color theme="0"/>
      <name val="Calibri"/>
      <family val="2"/>
      <scheme val="minor"/>
    </font>
    <font>
      <sz val="11"/>
      <color rgb="FF00B050"/>
      <name val="Calibri"/>
      <family val="2"/>
      <scheme val="minor"/>
    </font>
    <font>
      <sz val="11"/>
      <color rgb="FFFF0000"/>
      <name val="Calibri"/>
      <family val="2"/>
      <scheme val="minor"/>
    </font>
    <font>
      <sz val="11"/>
      <name val="Calibri"/>
      <family val="2"/>
      <scheme val="minor"/>
    </font>
    <font>
      <b/>
      <sz val="11"/>
      <name val="Calibri"/>
      <family val="2"/>
      <scheme val="minor"/>
    </font>
    <font>
      <b/>
      <sz val="11"/>
      <color rgb="FF0070C0"/>
      <name val="Calibri"/>
      <family val="2"/>
      <scheme val="minor"/>
    </font>
    <font>
      <sz val="11"/>
      <color rgb="FF0070C0"/>
      <name val="Calibri"/>
      <family val="2"/>
      <scheme val="minor"/>
    </font>
    <font>
      <sz val="11"/>
      <color rgb="FFFFC000"/>
      <name val="Calibri"/>
      <family val="2"/>
      <scheme val="minor"/>
    </font>
    <font>
      <sz val="12"/>
      <name val="Calibri"/>
      <family val="2"/>
      <scheme val="minor"/>
    </font>
    <font>
      <b/>
      <sz val="8"/>
      <color theme="3" tint="0.39997558519241921"/>
      <name val="Arial Narrow"/>
      <family val="2"/>
    </font>
    <font>
      <sz val="8"/>
      <color theme="3" tint="0.39997558519241921"/>
      <name val="Arial Narrow"/>
      <family val="2"/>
    </font>
    <font>
      <sz val="9"/>
      <color indexed="81"/>
      <name val="Tahoma"/>
      <family val="2"/>
    </font>
    <font>
      <b/>
      <sz val="9"/>
      <color indexed="81"/>
      <name val="Tahoma"/>
      <family val="2"/>
    </font>
  </fonts>
  <fills count="13">
    <fill>
      <patternFill patternType="none"/>
    </fill>
    <fill>
      <patternFill patternType="gray125"/>
    </fill>
    <fill>
      <patternFill patternType="solid">
        <fgColor indexed="22"/>
        <bgColor indexed="64"/>
      </patternFill>
    </fill>
    <fill>
      <patternFill patternType="solid">
        <fgColor theme="0" tint="-0.499984740745262"/>
        <bgColor indexed="64"/>
      </patternFill>
    </fill>
    <fill>
      <patternFill patternType="solid">
        <fgColor rgb="FFFFC000"/>
        <bgColor indexed="64"/>
      </patternFill>
    </fill>
    <fill>
      <patternFill patternType="solid">
        <fgColor theme="5" tint="0.59999389629810485"/>
        <bgColor indexed="64"/>
      </patternFill>
    </fill>
    <fill>
      <patternFill patternType="solid">
        <fgColor theme="0"/>
        <bgColor indexed="64"/>
      </patternFill>
    </fill>
    <fill>
      <patternFill patternType="solid">
        <fgColor rgb="FF00B0F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FF0000"/>
        <bgColor indexed="64"/>
      </patternFill>
    </fill>
    <fill>
      <patternFill patternType="solid">
        <fgColor rgb="FFFFFF00"/>
        <bgColor indexed="64"/>
      </patternFill>
    </fill>
    <fill>
      <patternFill patternType="solid">
        <fgColor indexed="5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thin">
        <color indexed="64"/>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top style="double">
        <color indexed="64"/>
      </top>
      <bottom/>
      <diagonal/>
    </border>
    <border>
      <left style="double">
        <color indexed="64"/>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double">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167" fontId="1" fillId="0" borderId="0" applyFont="0" applyFill="0" applyBorder="0" applyAlignment="0" applyProtection="0">
      <alignment vertical="center"/>
    </xf>
    <xf numFmtId="0" fontId="6" fillId="0" borderId="0"/>
    <xf numFmtId="0" fontId="6" fillId="0" borderId="0"/>
  </cellStyleXfs>
  <cellXfs count="207">
    <xf numFmtId="0" fontId="0" fillId="0" borderId="0" xfId="0">
      <alignment vertical="center"/>
    </xf>
    <xf numFmtId="0" fontId="3" fillId="0" borderId="0" xfId="0" applyFont="1">
      <alignment vertical="center"/>
    </xf>
    <xf numFmtId="164" fontId="3" fillId="0" borderId="0" xfId="0" applyNumberFormat="1" applyFont="1">
      <alignment vertical="center"/>
    </xf>
    <xf numFmtId="165" fontId="3" fillId="0" borderId="0" xfId="0" applyNumberFormat="1" applyFont="1">
      <alignment vertical="center"/>
    </xf>
    <xf numFmtId="0" fontId="3" fillId="0" borderId="0" xfId="0" applyFont="1" applyAlignment="1">
      <alignment vertical="center" wrapText="1"/>
    </xf>
    <xf numFmtId="1" fontId="3" fillId="0" borderId="0" xfId="0" applyNumberFormat="1" applyFont="1">
      <alignment vertical="center"/>
    </xf>
    <xf numFmtId="3" fontId="3" fillId="0" borderId="0" xfId="0" applyNumberFormat="1" applyFont="1">
      <alignment vertical="center"/>
    </xf>
    <xf numFmtId="0" fontId="10" fillId="0" borderId="0" xfId="2" applyFont="1" applyBorder="1"/>
    <xf numFmtId="0" fontId="9" fillId="0" borderId="5" xfId="2" applyFont="1" applyBorder="1" applyAlignment="1">
      <alignment horizontal="center"/>
    </xf>
    <xf numFmtId="0" fontId="9" fillId="0" borderId="1" xfId="2" applyFont="1" applyBorder="1"/>
    <xf numFmtId="0" fontId="9" fillId="0" borderId="1" xfId="2" applyFont="1" applyBorder="1" applyAlignment="1">
      <alignment horizontal="center"/>
    </xf>
    <xf numFmtId="0" fontId="9" fillId="0" borderId="0" xfId="2" applyFont="1" applyBorder="1"/>
    <xf numFmtId="0" fontId="9" fillId="0" borderId="1" xfId="2" applyFont="1" applyBorder="1" applyAlignment="1">
      <alignment vertical="center"/>
    </xf>
    <xf numFmtId="0" fontId="10" fillId="0" borderId="1" xfId="2" applyFont="1" applyBorder="1"/>
    <xf numFmtId="2" fontId="9" fillId="0" borderId="1" xfId="2" applyNumberFormat="1" applyFont="1" applyBorder="1" applyAlignment="1">
      <alignment vertical="center"/>
    </xf>
    <xf numFmtId="2" fontId="9" fillId="0" borderId="1" xfId="2" applyNumberFormat="1" applyFont="1" applyBorder="1"/>
    <xf numFmtId="2" fontId="9" fillId="0" borderId="0" xfId="2" applyNumberFormat="1" applyFont="1" applyBorder="1"/>
    <xf numFmtId="0" fontId="10" fillId="0" borderId="1" xfId="2" applyFont="1" applyBorder="1" applyAlignment="1">
      <alignment vertical="center"/>
    </xf>
    <xf numFmtId="0" fontId="9" fillId="0" borderId="0" xfId="2" applyFont="1" applyBorder="1" applyAlignment="1">
      <alignment vertical="center"/>
    </xf>
    <xf numFmtId="0" fontId="10" fillId="0" borderId="0" xfId="2" applyFont="1" applyBorder="1" applyAlignment="1">
      <alignment vertical="center"/>
    </xf>
    <xf numFmtId="0" fontId="10" fillId="0" borderId="1"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0" fontId="14" fillId="0" borderId="0" xfId="0" applyFont="1" applyAlignment="1">
      <alignment vertical="center"/>
    </xf>
    <xf numFmtId="0" fontId="13" fillId="0" borderId="1" xfId="0" applyFont="1" applyBorder="1" applyAlignment="1">
      <alignment vertical="center"/>
    </xf>
    <xf numFmtId="0" fontId="14" fillId="0" borderId="1" xfId="0" applyFont="1" applyBorder="1" applyAlignment="1">
      <alignment vertical="center"/>
    </xf>
    <xf numFmtId="0" fontId="15" fillId="0" borderId="1" xfId="0" applyFont="1" applyBorder="1" applyAlignment="1">
      <alignment vertical="center"/>
    </xf>
    <xf numFmtId="0" fontId="16" fillId="0" borderId="3" xfId="0" applyFont="1" applyBorder="1" applyAlignment="1">
      <alignment vertical="center" wrapText="1"/>
    </xf>
    <xf numFmtId="0" fontId="17" fillId="0" borderId="1" xfId="0" applyFont="1" applyBorder="1" applyAlignment="1">
      <alignment vertical="center" wrapText="1"/>
    </xf>
    <xf numFmtId="165" fontId="17" fillId="0" borderId="1" xfId="0" applyNumberFormat="1" applyFont="1" applyBorder="1">
      <alignment vertical="center"/>
    </xf>
    <xf numFmtId="1" fontId="17" fillId="0" borderId="1" xfId="0" applyNumberFormat="1" applyFont="1" applyBorder="1">
      <alignment vertical="center"/>
    </xf>
    <xf numFmtId="3" fontId="17" fillId="0" borderId="1" xfId="0" applyNumberFormat="1" applyFont="1" applyBorder="1">
      <alignment vertical="center"/>
    </xf>
    <xf numFmtId="164" fontId="17" fillId="0" borderId="1" xfId="0" applyNumberFormat="1" applyFont="1" applyBorder="1">
      <alignment vertical="center"/>
    </xf>
    <xf numFmtId="0" fontId="17" fillId="0" borderId="2" xfId="0" applyFont="1" applyBorder="1">
      <alignment vertical="center"/>
    </xf>
    <xf numFmtId="165" fontId="17" fillId="0" borderId="4" xfId="0" applyNumberFormat="1" applyFont="1" applyBorder="1">
      <alignment vertical="center"/>
    </xf>
    <xf numFmtId="0" fontId="17" fillId="0" borderId="0" xfId="0" applyFont="1">
      <alignment vertical="center"/>
    </xf>
    <xf numFmtId="0" fontId="17" fillId="0" borderId="3" xfId="0" applyFont="1" applyBorder="1" applyAlignment="1">
      <alignment vertical="center" wrapText="1"/>
    </xf>
    <xf numFmtId="164" fontId="16" fillId="0" borderId="1" xfId="0" applyNumberFormat="1" applyFont="1" applyBorder="1">
      <alignment vertical="center"/>
    </xf>
    <xf numFmtId="10" fontId="16" fillId="0" borderId="2" xfId="0" applyNumberFormat="1" applyFont="1" applyBorder="1">
      <alignment vertical="center"/>
    </xf>
    <xf numFmtId="0" fontId="18" fillId="0" borderId="6" xfId="0" applyFont="1" applyBorder="1" applyAlignment="1">
      <alignment vertical="center" wrapText="1"/>
    </xf>
    <xf numFmtId="0" fontId="18" fillId="0" borderId="7" xfId="0" applyFont="1" applyBorder="1" applyAlignment="1">
      <alignment vertical="center" wrapText="1"/>
    </xf>
    <xf numFmtId="164" fontId="18" fillId="0" borderId="7" xfId="0" applyNumberFormat="1" applyFont="1" applyBorder="1">
      <alignment vertical="center"/>
    </xf>
    <xf numFmtId="1" fontId="18" fillId="0" borderId="7" xfId="0" applyNumberFormat="1" applyFont="1" applyBorder="1">
      <alignment vertical="center"/>
    </xf>
    <xf numFmtId="3" fontId="18" fillId="0" borderId="7" xfId="0" applyNumberFormat="1" applyFont="1" applyBorder="1">
      <alignment vertical="center"/>
    </xf>
    <xf numFmtId="164" fontId="18" fillId="0" borderId="8" xfId="0" applyNumberFormat="1" applyFont="1" applyBorder="1">
      <alignment vertical="center"/>
    </xf>
    <xf numFmtId="0" fontId="18" fillId="0" borderId="0" xfId="0" applyFont="1">
      <alignment vertical="center"/>
    </xf>
    <xf numFmtId="1" fontId="19" fillId="2" borderId="7" xfId="3" applyNumberFormat="1" applyFont="1" applyFill="1" applyBorder="1" applyAlignment="1">
      <alignment horizontal="center" wrapText="1"/>
    </xf>
    <xf numFmtId="164" fontId="19" fillId="2" borderId="7" xfId="3" applyNumberFormat="1" applyFont="1" applyFill="1" applyBorder="1" applyAlignment="1">
      <alignment horizontal="center" wrapText="1"/>
    </xf>
    <xf numFmtId="3" fontId="19" fillId="2" borderId="7" xfId="3" applyNumberFormat="1" applyFont="1" applyFill="1" applyBorder="1" applyAlignment="1">
      <alignment horizontal="center" wrapText="1"/>
    </xf>
    <xf numFmtId="0" fontId="19" fillId="2" borderId="9" xfId="3" applyFont="1" applyFill="1" applyBorder="1" applyAlignment="1">
      <alignment horizontal="center" wrapText="1"/>
    </xf>
    <xf numFmtId="165" fontId="19" fillId="2" borderId="8" xfId="3" applyNumberFormat="1" applyFont="1" applyFill="1" applyBorder="1" applyAlignment="1">
      <alignment horizontal="center" wrapText="1"/>
    </xf>
    <xf numFmtId="0" fontId="17" fillId="0" borderId="2" xfId="0" applyFont="1" applyBorder="1" applyAlignment="1">
      <alignment vertical="center" wrapText="1"/>
    </xf>
    <xf numFmtId="0" fontId="3" fillId="0" borderId="12" xfId="0" applyFont="1" applyBorder="1" applyAlignment="1">
      <alignment vertical="center" wrapText="1"/>
    </xf>
    <xf numFmtId="0" fontId="3" fillId="0" borderId="13" xfId="0" applyFont="1" applyBorder="1" applyAlignment="1">
      <alignment vertical="center" wrapText="1"/>
    </xf>
    <xf numFmtId="165" fontId="3" fillId="0" borderId="13" xfId="0" applyNumberFormat="1" applyFont="1" applyBorder="1">
      <alignment vertical="center"/>
    </xf>
    <xf numFmtId="1" fontId="3" fillId="0" borderId="13" xfId="0" applyNumberFormat="1" applyFont="1" applyBorder="1">
      <alignment vertical="center"/>
    </xf>
    <xf numFmtId="3" fontId="3" fillId="0" borderId="13" xfId="0" applyNumberFormat="1" applyFont="1" applyBorder="1">
      <alignment vertical="center"/>
    </xf>
    <xf numFmtId="164" fontId="3" fillId="0" borderId="13" xfId="0" applyNumberFormat="1" applyFont="1" applyBorder="1">
      <alignment vertical="center"/>
    </xf>
    <xf numFmtId="0" fontId="3" fillId="0" borderId="13" xfId="0" applyFont="1" applyBorder="1">
      <alignment vertical="center"/>
    </xf>
    <xf numFmtId="0" fontId="17" fillId="0" borderId="17" xfId="0" applyFont="1" applyFill="1" applyBorder="1" applyAlignment="1">
      <alignment horizontal="left" vertical="center" wrapText="1"/>
    </xf>
    <xf numFmtId="165" fontId="17" fillId="0" borderId="4" xfId="0" applyNumberFormat="1" applyFont="1" applyFill="1" applyBorder="1">
      <alignment vertical="center"/>
    </xf>
    <xf numFmtId="1" fontId="17" fillId="0" borderId="1" xfId="0" applyNumberFormat="1" applyFont="1" applyFill="1" applyBorder="1">
      <alignment vertical="center"/>
    </xf>
    <xf numFmtId="3" fontId="17" fillId="0" borderId="1" xfId="0" applyNumberFormat="1" applyFont="1" applyFill="1" applyBorder="1">
      <alignment vertical="center"/>
    </xf>
    <xf numFmtId="10" fontId="20" fillId="0" borderId="2" xfId="0" applyNumberFormat="1" applyFont="1" applyFill="1" applyBorder="1">
      <alignment vertical="center"/>
    </xf>
    <xf numFmtId="0" fontId="17" fillId="0" borderId="0" xfId="0" applyFont="1" applyFill="1">
      <alignment vertical="center"/>
    </xf>
    <xf numFmtId="0" fontId="17" fillId="0" borderId="1" xfId="0" applyFont="1" applyFill="1" applyBorder="1" applyAlignment="1">
      <alignment horizontal="left" vertical="center" wrapText="1"/>
    </xf>
    <xf numFmtId="166" fontId="17" fillId="0" borderId="4" xfId="0" applyNumberFormat="1" applyFont="1" applyBorder="1">
      <alignment vertical="center"/>
    </xf>
    <xf numFmtId="0" fontId="4" fillId="2" borderId="18" xfId="0" applyFont="1" applyFill="1" applyBorder="1" applyAlignment="1">
      <alignment horizontal="center" vertical="center"/>
    </xf>
    <xf numFmtId="0" fontId="17" fillId="0" borderId="2" xfId="0" applyFont="1" applyFill="1" applyBorder="1" applyAlignment="1">
      <alignment vertical="center" wrapText="1"/>
    </xf>
    <xf numFmtId="0" fontId="18" fillId="0" borderId="9" xfId="0" applyFont="1" applyBorder="1" applyAlignment="1">
      <alignment vertical="center" wrapText="1"/>
    </xf>
    <xf numFmtId="165" fontId="17" fillId="0" borderId="1" xfId="0" applyNumberFormat="1" applyFont="1" applyFill="1" applyBorder="1">
      <alignment vertical="center"/>
    </xf>
    <xf numFmtId="164" fontId="17" fillId="0" borderId="1" xfId="0" applyNumberFormat="1" applyFont="1" applyFill="1" applyBorder="1">
      <alignment vertical="center"/>
    </xf>
    <xf numFmtId="10" fontId="20" fillId="0" borderId="9" xfId="0" applyNumberFormat="1" applyFont="1" applyBorder="1">
      <alignment vertical="center"/>
    </xf>
    <xf numFmtId="2" fontId="25" fillId="4" borderId="31" xfId="0" applyNumberFormat="1" applyFont="1" applyFill="1" applyBorder="1" applyAlignment="1">
      <alignment horizontal="right" vertical="center"/>
    </xf>
    <xf numFmtId="2" fontId="26" fillId="5" borderId="31" xfId="0" applyNumberFormat="1" applyFont="1" applyFill="1" applyBorder="1" applyAlignment="1">
      <alignment horizontal="right" vertical="center"/>
    </xf>
    <xf numFmtId="2" fontId="25" fillId="7" borderId="31" xfId="0" applyNumberFormat="1" applyFont="1" applyFill="1" applyBorder="1" applyAlignment="1">
      <alignment horizontal="right" vertical="center"/>
    </xf>
    <xf numFmtId="0" fontId="25" fillId="8" borderId="32" xfId="0" applyFont="1" applyFill="1" applyBorder="1" applyAlignment="1">
      <alignment horizontal="center" vertical="center"/>
    </xf>
    <xf numFmtId="0" fontId="25" fillId="8" borderId="33" xfId="0" applyFont="1" applyFill="1" applyBorder="1" applyAlignment="1">
      <alignment horizontal="center" vertical="center" wrapText="1"/>
    </xf>
    <xf numFmtId="0" fontId="25" fillId="8" borderId="33" xfId="0" applyFont="1" applyFill="1" applyBorder="1" applyAlignment="1">
      <alignment horizontal="center" vertical="center"/>
    </xf>
    <xf numFmtId="0" fontId="25" fillId="8" borderId="34" xfId="0" applyFont="1" applyFill="1" applyBorder="1" applyAlignment="1">
      <alignment horizontal="center" vertical="center"/>
    </xf>
    <xf numFmtId="0" fontId="25" fillId="0" borderId="35" xfId="0" applyFont="1" applyBorder="1" applyAlignment="1">
      <alignment vertical="center" wrapText="1"/>
    </xf>
    <xf numFmtId="0" fontId="25" fillId="0" borderId="11" xfId="0" applyFont="1" applyBorder="1" applyAlignment="1" applyProtection="1">
      <alignment horizontal="center" vertical="center" wrapText="1"/>
      <protection locked="0"/>
    </xf>
    <xf numFmtId="2" fontId="25" fillId="9" borderId="11" xfId="0" applyNumberFormat="1" applyFont="1" applyFill="1" applyBorder="1" applyAlignment="1" applyProtection="1">
      <alignment horizontal="center" vertical="center" wrapText="1"/>
    </xf>
    <xf numFmtId="2" fontId="25" fillId="0" borderId="36" xfId="0" applyNumberFormat="1" applyFont="1" applyBorder="1" applyAlignment="1" applyProtection="1">
      <alignment horizontal="right" vertical="center"/>
      <protection locked="0"/>
    </xf>
    <xf numFmtId="0" fontId="25" fillId="0" borderId="37" xfId="0" applyFont="1" applyBorder="1" applyAlignment="1">
      <alignment vertical="center" wrapText="1"/>
    </xf>
    <xf numFmtId="0" fontId="25" fillId="0" borderId="1" xfId="0" applyFont="1" applyBorder="1" applyAlignment="1" applyProtection="1">
      <alignment horizontal="center" vertical="center" wrapText="1"/>
    </xf>
    <xf numFmtId="2" fontId="25" fillId="0" borderId="38" xfId="0" applyNumberFormat="1" applyFont="1" applyBorder="1" applyAlignment="1">
      <alignment horizontal="right" vertical="center"/>
    </xf>
    <xf numFmtId="0" fontId="25" fillId="0" borderId="1" xfId="0" applyFont="1" applyBorder="1" applyAlignment="1" applyProtection="1">
      <alignment horizontal="center" vertical="center" wrapText="1"/>
      <protection locked="0"/>
    </xf>
    <xf numFmtId="2" fontId="27" fillId="10" borderId="1" xfId="0" applyNumberFormat="1" applyFont="1" applyFill="1" applyBorder="1" applyAlignment="1" applyProtection="1">
      <alignment horizontal="center" vertical="center" wrapText="1"/>
    </xf>
    <xf numFmtId="2" fontId="25" fillId="11" borderId="11" xfId="0" applyNumberFormat="1" applyFont="1" applyFill="1" applyBorder="1" applyAlignment="1" applyProtection="1">
      <alignment horizontal="center" vertical="center" wrapText="1"/>
    </xf>
    <xf numFmtId="2" fontId="25" fillId="0" borderId="11" xfId="0" applyNumberFormat="1" applyFont="1" applyFill="1" applyBorder="1" applyAlignment="1" applyProtection="1">
      <alignment horizontal="center" vertical="center" wrapText="1"/>
      <protection locked="0"/>
    </xf>
    <xf numFmtId="2" fontId="25" fillId="0" borderId="11" xfId="0" applyNumberFormat="1" applyFont="1" applyFill="1" applyBorder="1" applyAlignment="1" applyProtection="1">
      <alignment horizontal="center" vertical="center" wrapText="1"/>
    </xf>
    <xf numFmtId="0" fontId="25" fillId="6" borderId="37" xfId="0" applyFont="1" applyFill="1" applyBorder="1" applyAlignment="1">
      <alignment horizontal="left" vertical="center" wrapText="1"/>
    </xf>
    <xf numFmtId="2" fontId="25" fillId="0" borderId="1" xfId="0" applyNumberFormat="1" applyFont="1" applyBorder="1" applyAlignment="1" applyProtection="1">
      <alignment horizontal="center" vertical="center" wrapText="1"/>
    </xf>
    <xf numFmtId="2" fontId="25" fillId="0" borderId="1" xfId="0" applyNumberFormat="1" applyFont="1" applyBorder="1" applyAlignment="1" applyProtection="1">
      <alignment horizontal="right" vertical="center"/>
      <protection locked="0"/>
    </xf>
    <xf numFmtId="2" fontId="25" fillId="6" borderId="38" xfId="0" applyNumberFormat="1" applyFont="1" applyFill="1" applyBorder="1" applyAlignment="1">
      <alignment horizontal="right" vertical="center"/>
    </xf>
    <xf numFmtId="2" fontId="25" fillId="11" borderId="1" xfId="0" applyNumberFormat="1" applyFont="1" applyFill="1" applyBorder="1" applyAlignment="1" applyProtection="1">
      <alignment horizontal="center" vertical="center" wrapText="1"/>
    </xf>
    <xf numFmtId="2" fontId="31" fillId="0" borderId="1" xfId="0" applyNumberFormat="1" applyFont="1" applyBorder="1" applyAlignment="1" applyProtection="1">
      <alignment horizontal="center" vertical="center" wrapText="1"/>
    </xf>
    <xf numFmtId="2" fontId="25" fillId="0" borderId="1" xfId="0" applyNumberFormat="1" applyFont="1" applyBorder="1" applyAlignment="1">
      <alignment horizontal="right" vertical="center"/>
    </xf>
    <xf numFmtId="2" fontId="25" fillId="9" borderId="1" xfId="0" applyNumberFormat="1" applyFont="1" applyFill="1" applyBorder="1" applyAlignment="1">
      <alignment horizontal="right" vertical="center"/>
    </xf>
    <xf numFmtId="0" fontId="25" fillId="6" borderId="39" xfId="0" applyFont="1" applyFill="1" applyBorder="1" applyAlignment="1">
      <alignment horizontal="left" vertical="center" wrapText="1"/>
    </xf>
    <xf numFmtId="0" fontId="25" fillId="8" borderId="32" xfId="0" applyFont="1" applyFill="1" applyBorder="1" applyAlignment="1">
      <alignment vertical="center"/>
    </xf>
    <xf numFmtId="2" fontId="25" fillId="0" borderId="1" xfId="0" applyNumberFormat="1" applyFont="1" applyBorder="1" applyAlignment="1">
      <alignment horizontal="center" vertical="center" wrapText="1"/>
    </xf>
    <xf numFmtId="0" fontId="25" fillId="6" borderId="37" xfId="0" applyFont="1" applyFill="1" applyBorder="1" applyAlignment="1">
      <alignment vertical="center" wrapText="1"/>
    </xf>
    <xf numFmtId="2" fontId="25" fillId="0" borderId="1" xfId="0" applyNumberFormat="1" applyFont="1" applyFill="1" applyBorder="1" applyAlignment="1">
      <alignment horizontal="center" vertical="center" wrapText="1"/>
    </xf>
    <xf numFmtId="0" fontId="32" fillId="6" borderId="35" xfId="0" applyFont="1" applyFill="1" applyBorder="1" applyAlignment="1">
      <alignment vertical="center" wrapText="1"/>
    </xf>
    <xf numFmtId="0" fontId="32" fillId="0" borderId="11" xfId="0" applyFont="1" applyBorder="1" applyAlignment="1" applyProtection="1">
      <alignment horizontal="center" vertical="center" wrapText="1"/>
      <protection locked="0"/>
    </xf>
    <xf numFmtId="2" fontId="32" fillId="0" borderId="11" xfId="0" applyNumberFormat="1" applyFont="1" applyFill="1" applyBorder="1" applyAlignment="1">
      <alignment horizontal="center" vertical="center" wrapText="1"/>
    </xf>
    <xf numFmtId="2" fontId="32" fillId="0" borderId="11" xfId="0" applyNumberFormat="1" applyFont="1" applyBorder="1" applyAlignment="1" applyProtection="1">
      <alignment horizontal="right" vertical="center"/>
      <protection locked="0"/>
    </xf>
    <xf numFmtId="2" fontId="32" fillId="0" borderId="36" xfId="0" applyNumberFormat="1" applyFont="1" applyBorder="1" applyAlignment="1">
      <alignment horizontal="right" vertical="center"/>
    </xf>
    <xf numFmtId="0" fontId="32" fillId="6" borderId="40" xfId="0" applyFont="1" applyFill="1" applyBorder="1" applyAlignment="1">
      <alignment vertical="center" wrapText="1"/>
    </xf>
    <xf numFmtId="0" fontId="32" fillId="0" borderId="41" xfId="0" applyFont="1" applyBorder="1" applyAlignment="1" applyProtection="1">
      <alignment horizontal="center" vertical="center" wrapText="1"/>
      <protection locked="0"/>
    </xf>
    <xf numFmtId="2" fontId="32" fillId="0" borderId="41" xfId="0" applyNumberFormat="1" applyFont="1" applyFill="1" applyBorder="1" applyAlignment="1">
      <alignment horizontal="center" vertical="center" wrapText="1"/>
    </xf>
    <xf numFmtId="2" fontId="32" fillId="0" borderId="41" xfId="0" applyNumberFormat="1" applyFont="1" applyBorder="1" applyAlignment="1" applyProtection="1">
      <alignment horizontal="right" vertical="center"/>
      <protection locked="0"/>
    </xf>
    <xf numFmtId="2" fontId="32" fillId="0" borderId="42" xfId="0" applyNumberFormat="1" applyFont="1" applyBorder="1" applyAlignment="1">
      <alignment horizontal="right" vertical="center"/>
    </xf>
    <xf numFmtId="2" fontId="25" fillId="4" borderId="43" xfId="0" applyNumberFormat="1" applyFont="1" applyFill="1" applyBorder="1" applyAlignment="1">
      <alignment horizontal="right" vertical="center"/>
    </xf>
    <xf numFmtId="2" fontId="25" fillId="11" borderId="1" xfId="0" applyNumberFormat="1" applyFont="1" applyFill="1" applyBorder="1" applyAlignment="1">
      <alignment horizontal="center" vertical="center" wrapText="1"/>
    </xf>
    <xf numFmtId="2" fontId="25" fillId="9" borderId="1" xfId="0" applyNumberFormat="1" applyFont="1" applyFill="1" applyBorder="1" applyAlignment="1" applyProtection="1">
      <alignment horizontal="right" vertical="center"/>
    </xf>
    <xf numFmtId="0" fontId="25" fillId="0" borderId="39" xfId="0" applyFont="1" applyBorder="1" applyAlignment="1">
      <alignment vertical="center" wrapText="1"/>
    </xf>
    <xf numFmtId="2" fontId="25" fillId="0" borderId="11" xfId="0" applyNumberFormat="1" applyFont="1" applyBorder="1" applyAlignment="1">
      <alignment horizontal="center" vertical="center" wrapText="1"/>
    </xf>
    <xf numFmtId="2" fontId="25" fillId="0" borderId="36" xfId="0" applyNumberFormat="1" applyFont="1" applyBorder="1" applyAlignment="1">
      <alignment horizontal="right" vertical="center"/>
    </xf>
    <xf numFmtId="0" fontId="25" fillId="4" borderId="40" xfId="0" applyFont="1" applyFill="1" applyBorder="1" applyAlignment="1">
      <alignment horizontal="right" vertical="center" wrapText="1"/>
    </xf>
    <xf numFmtId="0" fontId="25" fillId="4" borderId="41" xfId="0" applyFont="1" applyFill="1" applyBorder="1" applyAlignment="1">
      <alignment horizontal="right" vertical="center" wrapText="1"/>
    </xf>
    <xf numFmtId="0" fontId="25" fillId="0" borderId="44" xfId="0" applyFont="1" applyBorder="1" applyAlignment="1">
      <alignment vertical="center" wrapText="1"/>
    </xf>
    <xf numFmtId="2" fontId="25" fillId="0" borderId="11" xfId="0" applyNumberFormat="1" applyFont="1" applyBorder="1" applyAlignment="1" applyProtection="1">
      <alignment horizontal="right" vertical="center"/>
      <protection locked="0"/>
    </xf>
    <xf numFmtId="0" fontId="29" fillId="0" borderId="0" xfId="0" applyFont="1" applyAlignment="1">
      <alignment vertical="center"/>
    </xf>
    <xf numFmtId="0" fontId="25" fillId="0" borderId="45" xfId="0" applyFont="1" applyBorder="1" applyAlignment="1" applyProtection="1">
      <alignment horizontal="center" vertical="center" wrapText="1"/>
      <protection locked="0"/>
    </xf>
    <xf numFmtId="2" fontId="25" fillId="9" borderId="45" xfId="0" applyNumberFormat="1" applyFont="1" applyFill="1" applyBorder="1" applyAlignment="1" applyProtection="1">
      <alignment horizontal="center" vertical="center" wrapText="1"/>
      <protection locked="0"/>
    </xf>
    <xf numFmtId="2" fontId="25" fillId="9" borderId="45" xfId="0" applyNumberFormat="1" applyFont="1" applyFill="1" applyBorder="1" applyAlignment="1" applyProtection="1">
      <alignment horizontal="right" vertical="center"/>
    </xf>
    <xf numFmtId="0" fontId="25" fillId="4" borderId="26" xfId="0" applyFont="1" applyFill="1" applyBorder="1" applyAlignment="1">
      <alignment vertical="center" wrapText="1"/>
    </xf>
    <xf numFmtId="0" fontId="25" fillId="4" borderId="27" xfId="0" applyFont="1" applyFill="1" applyBorder="1" applyAlignment="1">
      <alignment vertical="center" wrapText="1"/>
    </xf>
    <xf numFmtId="0" fontId="25" fillId="4" borderId="46" xfId="0" applyFont="1" applyFill="1" applyBorder="1" applyAlignment="1">
      <alignment horizontal="right" vertical="center"/>
    </xf>
    <xf numFmtId="2" fontId="25" fillId="4" borderId="34" xfId="0" applyNumberFormat="1" applyFont="1" applyFill="1" applyBorder="1" applyAlignment="1">
      <alignment horizontal="right" vertical="center"/>
    </xf>
    <xf numFmtId="0" fontId="35" fillId="0" borderId="0" xfId="0" applyFont="1" applyAlignment="1"/>
    <xf numFmtId="0" fontId="35" fillId="6" borderId="0" xfId="0" applyFont="1" applyFill="1" applyAlignment="1"/>
    <xf numFmtId="0" fontId="35" fillId="0" borderId="0" xfId="0" applyFont="1" applyAlignment="1">
      <alignment vertical="center"/>
    </xf>
    <xf numFmtId="0" fontId="35" fillId="0" borderId="37" xfId="0" applyFont="1" applyBorder="1" applyAlignment="1">
      <alignment horizontal="left" vertical="center" wrapText="1"/>
    </xf>
    <xf numFmtId="2" fontId="35" fillId="0" borderId="1" xfId="0" applyNumberFormat="1" applyFont="1" applyFill="1" applyBorder="1" applyAlignment="1" applyProtection="1">
      <alignment horizontal="center" vertical="center"/>
      <protection locked="0"/>
    </xf>
    <xf numFmtId="2" fontId="35" fillId="0" borderId="38" xfId="0" applyNumberFormat="1" applyFont="1" applyBorder="1" applyAlignment="1">
      <alignment horizontal="center" vertical="center"/>
    </xf>
    <xf numFmtId="2" fontId="35" fillId="0" borderId="36" xfId="0" applyNumberFormat="1" applyFont="1" applyBorder="1" applyAlignment="1" applyProtection="1">
      <alignment horizontal="center" vertical="center"/>
    </xf>
    <xf numFmtId="2" fontId="35" fillId="0" borderId="1" xfId="0" applyNumberFormat="1" applyFont="1" applyBorder="1" applyAlignment="1" applyProtection="1">
      <alignment horizontal="center" vertical="center" wrapText="1"/>
    </xf>
    <xf numFmtId="2" fontId="35" fillId="0" borderId="1" xfId="0" applyNumberFormat="1" applyFont="1" applyBorder="1" applyAlignment="1" applyProtection="1">
      <alignment horizontal="center" vertical="center"/>
    </xf>
    <xf numFmtId="0" fontId="35" fillId="0" borderId="0" xfId="0" applyFont="1" applyBorder="1" applyAlignment="1">
      <alignment horizontal="center" vertical="center" wrapText="1"/>
    </xf>
    <xf numFmtId="0" fontId="35" fillId="0" borderId="0" xfId="0" applyFont="1" applyAlignment="1">
      <alignment horizontal="center" vertical="center" wrapText="1"/>
    </xf>
    <xf numFmtId="0" fontId="35" fillId="0" borderId="0" xfId="0" applyFont="1" applyAlignment="1">
      <alignment horizontal="center" vertical="center"/>
    </xf>
    <xf numFmtId="2" fontId="31" fillId="7" borderId="48" xfId="0" applyNumberFormat="1" applyFont="1" applyFill="1" applyBorder="1" applyAlignment="1"/>
    <xf numFmtId="2" fontId="25" fillId="0" borderId="42" xfId="0" applyNumberFormat="1" applyFont="1" applyBorder="1" applyAlignment="1" applyProtection="1">
      <alignment horizontal="right" vertical="center"/>
      <protection locked="0"/>
    </xf>
    <xf numFmtId="0" fontId="35" fillId="0" borderId="0" xfId="0" applyFont="1" applyFill="1" applyAlignment="1"/>
    <xf numFmtId="0" fontId="10" fillId="0" borderId="1" xfId="2" applyFont="1" applyBorder="1" applyAlignment="1">
      <alignment vertical="center" wrapText="1"/>
    </xf>
    <xf numFmtId="0" fontId="5" fillId="2" borderId="22" xfId="3" applyFont="1" applyFill="1" applyBorder="1" applyAlignment="1">
      <alignment horizontal="center" vertical="center" wrapText="1"/>
    </xf>
    <xf numFmtId="0" fontId="5" fillId="2" borderId="23" xfId="3" applyFont="1" applyFill="1" applyBorder="1" applyAlignment="1">
      <alignment horizontal="center" vertical="center" wrapText="1"/>
    </xf>
    <xf numFmtId="0" fontId="36" fillId="0" borderId="1" xfId="0" applyFont="1" applyBorder="1" applyAlignment="1">
      <alignment vertical="center"/>
    </xf>
    <xf numFmtId="0" fontId="37" fillId="0" borderId="1" xfId="0" applyFont="1" applyBorder="1" applyAlignment="1">
      <alignment vertical="center"/>
    </xf>
    <xf numFmtId="0" fontId="10" fillId="0" borderId="1" xfId="0" applyFont="1" applyBorder="1" applyAlignment="1">
      <alignment vertical="center" wrapText="1"/>
    </xf>
    <xf numFmtId="0" fontId="10" fillId="11" borderId="1" xfId="0" applyFont="1" applyFill="1" applyBorder="1" applyAlignment="1">
      <alignment vertical="center" wrapText="1"/>
    </xf>
    <xf numFmtId="0" fontId="10" fillId="11" borderId="1" xfId="2" applyFont="1" applyFill="1" applyBorder="1" applyAlignment="1">
      <alignment vertical="center"/>
    </xf>
    <xf numFmtId="0" fontId="10" fillId="11" borderId="1" xfId="0" applyFont="1" applyFill="1" applyBorder="1" applyAlignment="1">
      <alignment vertical="center"/>
    </xf>
    <xf numFmtId="0" fontId="5" fillId="2" borderId="9" xfId="3" applyFont="1" applyFill="1" applyBorder="1" applyAlignment="1">
      <alignment horizontal="center" vertical="center" wrapText="1"/>
    </xf>
    <xf numFmtId="0" fontId="3" fillId="12" borderId="10" xfId="0" applyFont="1" applyFill="1" applyBorder="1" applyAlignment="1">
      <alignment vertical="center" wrapText="1"/>
    </xf>
    <xf numFmtId="165" fontId="3" fillId="12" borderId="16" xfId="0" applyNumberFormat="1" applyFont="1" applyFill="1" applyBorder="1">
      <alignment vertical="center"/>
    </xf>
    <xf numFmtId="1" fontId="3" fillId="12" borderId="14" xfId="0" applyNumberFormat="1" applyFont="1" applyFill="1" applyBorder="1">
      <alignment vertical="center"/>
    </xf>
    <xf numFmtId="164" fontId="7" fillId="12" borderId="14" xfId="0" applyNumberFormat="1" applyFont="1" applyFill="1" applyBorder="1">
      <alignment vertical="center"/>
    </xf>
    <xf numFmtId="3" fontId="3" fillId="12" borderId="14" xfId="0" applyNumberFormat="1" applyFont="1" applyFill="1" applyBorder="1">
      <alignment vertical="center"/>
    </xf>
    <xf numFmtId="10" fontId="7" fillId="12" borderId="15" xfId="0" applyNumberFormat="1" applyFont="1" applyFill="1" applyBorder="1">
      <alignment vertical="center"/>
    </xf>
    <xf numFmtId="0" fontId="3" fillId="12" borderId="2" xfId="0" applyFont="1" applyFill="1" applyBorder="1" applyAlignment="1">
      <alignment vertical="center" wrapText="1"/>
    </xf>
    <xf numFmtId="165" fontId="3" fillId="12" borderId="4" xfId="0" applyNumberFormat="1" applyFont="1" applyFill="1" applyBorder="1">
      <alignment vertical="center"/>
    </xf>
    <xf numFmtId="1" fontId="3" fillId="12" borderId="1" xfId="0" applyNumberFormat="1" applyFont="1" applyFill="1" applyBorder="1">
      <alignment vertical="center"/>
    </xf>
    <xf numFmtId="165" fontId="7" fillId="12" borderId="1" xfId="0" applyNumberFormat="1" applyFont="1" applyFill="1" applyBorder="1">
      <alignment vertical="center"/>
    </xf>
    <xf numFmtId="3" fontId="21" fillId="12" borderId="1" xfId="0" applyNumberFormat="1" applyFont="1" applyFill="1" applyBorder="1">
      <alignment vertical="center"/>
    </xf>
    <xf numFmtId="1" fontId="21" fillId="12" borderId="1" xfId="0" applyNumberFormat="1" applyFont="1" applyFill="1" applyBorder="1">
      <alignment vertical="center"/>
    </xf>
    <xf numFmtId="164" fontId="7" fillId="12" borderId="1" xfId="0" applyNumberFormat="1" applyFont="1" applyFill="1" applyBorder="1">
      <alignment vertical="center"/>
    </xf>
    <xf numFmtId="10" fontId="7" fillId="12" borderId="2" xfId="0" applyNumberFormat="1" applyFont="1" applyFill="1" applyBorder="1">
      <alignment vertical="center"/>
    </xf>
    <xf numFmtId="0" fontId="4" fillId="12" borderId="49" xfId="0" applyFont="1" applyFill="1" applyBorder="1" applyAlignment="1">
      <alignment horizontal="left" vertical="center" wrapText="1"/>
    </xf>
    <xf numFmtId="0" fontId="4" fillId="12" borderId="50" xfId="0" applyFont="1" applyFill="1" applyBorder="1" applyAlignment="1">
      <alignment horizontal="left" vertical="center" wrapText="1"/>
    </xf>
    <xf numFmtId="0" fontId="4" fillId="12" borderId="25" xfId="0" applyFont="1" applyFill="1" applyBorder="1" applyAlignment="1">
      <alignment horizontal="left" vertical="center" wrapText="1"/>
    </xf>
    <xf numFmtId="0" fontId="4" fillId="12" borderId="16" xfId="0" applyFont="1" applyFill="1" applyBorder="1" applyAlignment="1">
      <alignment horizontal="left" vertical="center" wrapText="1"/>
    </xf>
    <xf numFmtId="0" fontId="4" fillId="0" borderId="24" xfId="0" applyFont="1" applyFill="1" applyBorder="1" applyAlignment="1">
      <alignment horizontal="center" vertical="center"/>
    </xf>
    <xf numFmtId="0" fontId="4" fillId="0"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13" fillId="0" borderId="1" xfId="0" applyFont="1" applyBorder="1" applyAlignment="1">
      <alignment horizontal="center" vertical="center"/>
    </xf>
    <xf numFmtId="0" fontId="25" fillId="4" borderId="29" xfId="0" applyFont="1" applyFill="1" applyBorder="1" applyAlignment="1">
      <alignment horizontal="right" vertical="center" wrapText="1"/>
    </xf>
    <xf numFmtId="0" fontId="25" fillId="4" borderId="30" xfId="0" applyFont="1" applyFill="1" applyBorder="1" applyAlignment="1">
      <alignment horizontal="right"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xf>
    <xf numFmtId="0" fontId="22" fillId="0" borderId="28" xfId="0" applyFont="1" applyBorder="1" applyAlignment="1">
      <alignment horizontal="center" vertical="center"/>
    </xf>
    <xf numFmtId="0" fontId="24" fillId="3" borderId="26" xfId="0" applyFont="1" applyFill="1" applyBorder="1" applyAlignment="1">
      <alignment horizontal="center"/>
    </xf>
    <xf numFmtId="0" fontId="24" fillId="3" borderId="27" xfId="0" applyFont="1" applyFill="1" applyBorder="1" applyAlignment="1">
      <alignment horizontal="center"/>
    </xf>
    <xf numFmtId="0" fontId="24" fillId="3" borderId="28" xfId="0" applyFont="1" applyFill="1" applyBorder="1" applyAlignment="1">
      <alignment horizontal="center"/>
    </xf>
    <xf numFmtId="0" fontId="25" fillId="7" borderId="29" xfId="0" applyFont="1" applyFill="1" applyBorder="1" applyAlignment="1">
      <alignment horizontal="right" vertical="center" wrapText="1"/>
    </xf>
    <xf numFmtId="0" fontId="25" fillId="7" borderId="30" xfId="0" applyFont="1" applyFill="1" applyBorder="1" applyAlignment="1">
      <alignment horizontal="right" vertical="center" wrapText="1"/>
    </xf>
    <xf numFmtId="0" fontId="35" fillId="0" borderId="0" xfId="0" applyFont="1" applyBorder="1" applyAlignment="1">
      <alignment horizontal="center" vertical="center" wrapText="1"/>
    </xf>
    <xf numFmtId="0" fontId="35" fillId="0" borderId="0" xfId="0" applyFont="1" applyAlignment="1">
      <alignment horizontal="center" vertical="center" wrapText="1"/>
    </xf>
    <xf numFmtId="0" fontId="25" fillId="4" borderId="40" xfId="0" applyFont="1" applyFill="1" applyBorder="1" applyAlignment="1">
      <alignment horizontal="right" vertical="center" wrapText="1"/>
    </xf>
    <xf numFmtId="0" fontId="25" fillId="4" borderId="41" xfId="0" applyFont="1" applyFill="1" applyBorder="1" applyAlignment="1">
      <alignment horizontal="right" vertical="center" wrapText="1"/>
    </xf>
    <xf numFmtId="0" fontId="29" fillId="0" borderId="0" xfId="0" applyFont="1" applyBorder="1" applyAlignment="1">
      <alignment horizontal="center" vertical="center" wrapText="1"/>
    </xf>
    <xf numFmtId="0" fontId="29" fillId="0" borderId="0" xfId="0" applyFont="1" applyAlignment="1">
      <alignment horizontal="center" vertical="center" wrapText="1"/>
    </xf>
    <xf numFmtId="0" fontId="35" fillId="0" borderId="0" xfId="0" applyFont="1" applyBorder="1" applyAlignment="1">
      <alignment horizontal="left" vertical="center" wrapText="1"/>
    </xf>
    <xf numFmtId="0" fontId="35" fillId="0" borderId="0" xfId="0" applyFont="1" applyAlignment="1">
      <alignment horizontal="left" vertical="center" wrapText="1"/>
    </xf>
    <xf numFmtId="0" fontId="35" fillId="0" borderId="0" xfId="0" applyFont="1" applyAlignment="1">
      <alignment horizontal="center" vertical="center"/>
    </xf>
    <xf numFmtId="0" fontId="31" fillId="7" borderId="29" xfId="0" applyFont="1" applyFill="1" applyBorder="1" applyAlignment="1">
      <alignment horizontal="right" vertical="center" wrapText="1"/>
    </xf>
    <xf numFmtId="0" fontId="31" fillId="7" borderId="30" xfId="0" applyFont="1" applyFill="1" applyBorder="1" applyAlignment="1">
      <alignment horizontal="right" vertical="center" wrapText="1"/>
    </xf>
    <xf numFmtId="0" fontId="31" fillId="7" borderId="47" xfId="0" applyFont="1" applyFill="1" applyBorder="1" applyAlignment="1">
      <alignment horizontal="right" vertical="center" wrapText="1"/>
    </xf>
  </cellXfs>
  <cellStyles count="4">
    <cellStyle name="Euro" xfId="1"/>
    <cellStyle name="Normal" xfId="0" builtinId="0"/>
    <cellStyle name="Normal_D15 Work Load Analysis 171207" xfId="2"/>
    <cellStyle name="Normal_Workshop Dubrovnik provisional budge" xfId="3"/>
  </cellStyles>
  <dxfs count="31">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3"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8"/>
  <sheetViews>
    <sheetView view="pageBreakPreview" zoomScaleNormal="100" zoomScaleSheetLayoutView="100" workbookViewId="0">
      <pane xSplit="3" ySplit="2" topLeftCell="H3" activePane="bottomRight" state="frozen"/>
      <selection activeCell="A16" sqref="A16"/>
      <selection pane="topRight" activeCell="A16" sqref="A16"/>
      <selection pane="bottomLeft" activeCell="A16" sqref="A16"/>
      <selection pane="bottomRight" activeCell="A16" sqref="A16"/>
    </sheetView>
  </sheetViews>
  <sheetFormatPr defaultColWidth="9" defaultRowHeight="16.5" outlineLevelRow="1"/>
  <cols>
    <col min="1" max="1" width="19.25" style="4" customWidth="1"/>
    <col min="2" max="2" width="34.875" style="4" bestFit="1" customWidth="1"/>
    <col min="3" max="3" width="11.125" style="4" customWidth="1"/>
    <col min="4" max="4" width="8.25" style="3" customWidth="1"/>
    <col min="5" max="5" width="8.25" style="5" customWidth="1"/>
    <col min="6" max="6" width="10.5" style="3" customWidth="1"/>
    <col min="7" max="7" width="8.25" style="6" customWidth="1"/>
    <col min="8" max="8" width="10.75" style="3" customWidth="1"/>
    <col min="9" max="9" width="8.25" style="5" customWidth="1"/>
    <col min="10" max="10" width="10.875" style="3" customWidth="1"/>
    <col min="11" max="11" width="7.25" style="5" customWidth="1"/>
    <col min="12" max="12" width="11.375" style="2" customWidth="1"/>
    <col min="13" max="13" width="6.5" style="1" customWidth="1"/>
    <col min="14" max="16384" width="9" style="1"/>
  </cols>
  <sheetData>
    <row r="1" spans="1:13" ht="17.25" customHeight="1" thickTop="1">
      <c r="A1" s="181" t="s">
        <v>236</v>
      </c>
      <c r="B1" s="182"/>
      <c r="C1" s="183"/>
      <c r="D1" s="67"/>
      <c r="E1" s="176">
        <v>2016</v>
      </c>
      <c r="F1" s="177"/>
      <c r="G1" s="176">
        <v>2017</v>
      </c>
      <c r="H1" s="177"/>
      <c r="I1" s="176">
        <v>2018</v>
      </c>
      <c r="J1" s="177"/>
      <c r="K1" s="178" t="s">
        <v>237</v>
      </c>
      <c r="L1" s="179"/>
      <c r="M1" s="180"/>
    </row>
    <row r="2" spans="1:13" ht="24.75" customHeight="1" thickBot="1">
      <c r="A2" s="149" t="s">
        <v>18</v>
      </c>
      <c r="B2" s="150" t="s">
        <v>19</v>
      </c>
      <c r="C2" s="157" t="s">
        <v>20</v>
      </c>
      <c r="D2" s="50" t="s">
        <v>1</v>
      </c>
      <c r="E2" s="46" t="s">
        <v>17</v>
      </c>
      <c r="F2" s="47" t="s">
        <v>8</v>
      </c>
      <c r="G2" s="48" t="s">
        <v>17</v>
      </c>
      <c r="H2" s="47" t="s">
        <v>8</v>
      </c>
      <c r="I2" s="46" t="s">
        <v>17</v>
      </c>
      <c r="J2" s="47" t="s">
        <v>8</v>
      </c>
      <c r="K2" s="46" t="s">
        <v>17</v>
      </c>
      <c r="L2" s="47" t="s">
        <v>8</v>
      </c>
      <c r="M2" s="49" t="s">
        <v>16</v>
      </c>
    </row>
    <row r="3" spans="1:13" ht="17.25" thickTop="1">
      <c r="A3" s="174" t="s">
        <v>240</v>
      </c>
      <c r="B3" s="175"/>
      <c r="C3" s="158"/>
      <c r="D3" s="159"/>
      <c r="E3" s="160"/>
      <c r="F3" s="161">
        <f>SUM(F5:F12)</f>
        <v>102400</v>
      </c>
      <c r="G3" s="162"/>
      <c r="H3" s="161">
        <f>SUM(H5:H12)</f>
        <v>109600</v>
      </c>
      <c r="I3" s="160"/>
      <c r="J3" s="161">
        <f>SUM(J5:J12)</f>
        <v>90400</v>
      </c>
      <c r="K3" s="160"/>
      <c r="L3" s="161">
        <f>SUM(L5:L12)</f>
        <v>302400</v>
      </c>
      <c r="M3" s="163">
        <f>L3/$L$36</f>
        <v>0.59004878048780485</v>
      </c>
    </row>
    <row r="4" spans="1:13" s="35" customFormat="1" ht="12.75" outlineLevel="1">
      <c r="A4" s="27" t="s">
        <v>242</v>
      </c>
      <c r="B4" s="28"/>
      <c r="C4" s="51"/>
      <c r="D4" s="34"/>
      <c r="E4" s="30"/>
      <c r="F4" s="29"/>
      <c r="G4" s="31"/>
      <c r="H4" s="29"/>
      <c r="I4" s="30"/>
      <c r="J4" s="29"/>
      <c r="K4" s="30"/>
      <c r="L4" s="32"/>
      <c r="M4" s="33"/>
    </row>
    <row r="5" spans="1:13" s="35" customFormat="1" ht="12.75" outlineLevel="1">
      <c r="A5" s="36" t="s">
        <v>248</v>
      </c>
      <c r="B5" s="28" t="s">
        <v>238</v>
      </c>
      <c r="C5" s="51" t="s">
        <v>239</v>
      </c>
      <c r="D5" s="34">
        <v>100</v>
      </c>
      <c r="E5" s="30">
        <v>220</v>
      </c>
      <c r="F5" s="29">
        <f>$D5*E5</f>
        <v>22000</v>
      </c>
      <c r="G5" s="31">
        <v>220</v>
      </c>
      <c r="H5" s="29">
        <f>$D5*G5</f>
        <v>22000</v>
      </c>
      <c r="I5" s="30">
        <v>220</v>
      </c>
      <c r="J5" s="29">
        <f>$D5*I5</f>
        <v>22000</v>
      </c>
      <c r="K5" s="30">
        <f>E5+G5+I5</f>
        <v>660</v>
      </c>
      <c r="L5" s="32">
        <f>K5*D5</f>
        <v>66000</v>
      </c>
      <c r="M5" s="33"/>
    </row>
    <row r="6" spans="1:13" s="35" customFormat="1" ht="12.75" outlineLevel="1">
      <c r="A6" s="27" t="s">
        <v>243</v>
      </c>
      <c r="B6" s="28"/>
      <c r="C6" s="51"/>
      <c r="D6" s="34"/>
      <c r="E6" s="30"/>
      <c r="F6" s="29"/>
      <c r="G6" s="31"/>
      <c r="H6" s="29"/>
      <c r="I6" s="30"/>
      <c r="J6" s="29"/>
      <c r="K6" s="30"/>
      <c r="L6" s="32"/>
      <c r="M6" s="33"/>
    </row>
    <row r="7" spans="1:13" s="35" customFormat="1" ht="12.75" outlineLevel="1">
      <c r="A7" s="36" t="s">
        <v>241</v>
      </c>
      <c r="B7" s="28" t="s">
        <v>244</v>
      </c>
      <c r="C7" s="51" t="s">
        <v>245</v>
      </c>
      <c r="D7" s="34">
        <v>90</v>
      </c>
      <c r="E7" s="30">
        <v>120</v>
      </c>
      <c r="F7" s="29">
        <f>$D7*E7</f>
        <v>10800</v>
      </c>
      <c r="G7" s="31">
        <v>160</v>
      </c>
      <c r="H7" s="29">
        <f>$D7*G7</f>
        <v>14400</v>
      </c>
      <c r="I7" s="30">
        <v>160</v>
      </c>
      <c r="J7" s="29">
        <f>$D7*I7</f>
        <v>14400</v>
      </c>
      <c r="K7" s="30">
        <f t="shared" ref="K7:K12" si="0">E7+G7+I7</f>
        <v>440</v>
      </c>
      <c r="L7" s="32">
        <f>K7*D7</f>
        <v>39600</v>
      </c>
      <c r="M7" s="33"/>
    </row>
    <row r="8" spans="1:13" s="35" customFormat="1" ht="25.5" outlineLevel="1">
      <c r="A8" s="36" t="s">
        <v>247</v>
      </c>
      <c r="B8" s="28" t="s">
        <v>238</v>
      </c>
      <c r="C8" s="51" t="s">
        <v>239</v>
      </c>
      <c r="D8" s="34">
        <v>90</v>
      </c>
      <c r="E8" s="30">
        <v>220</v>
      </c>
      <c r="F8" s="29">
        <f>$D8*E8</f>
        <v>19800</v>
      </c>
      <c r="G8" s="31">
        <v>220</v>
      </c>
      <c r="H8" s="29">
        <f>$D8*G8</f>
        <v>19800</v>
      </c>
      <c r="I8" s="30">
        <v>220</v>
      </c>
      <c r="J8" s="29">
        <f>$D8*I8</f>
        <v>19800</v>
      </c>
      <c r="K8" s="30">
        <f t="shared" si="0"/>
        <v>660</v>
      </c>
      <c r="L8" s="32">
        <f>K8*D8</f>
        <v>59400</v>
      </c>
      <c r="M8" s="33"/>
    </row>
    <row r="9" spans="1:13" s="35" customFormat="1" ht="25.5" outlineLevel="1">
      <c r="A9" s="36" t="s">
        <v>249</v>
      </c>
      <c r="B9" s="28" t="s">
        <v>238</v>
      </c>
      <c r="C9" s="51" t="s">
        <v>239</v>
      </c>
      <c r="D9" s="34">
        <v>90</v>
      </c>
      <c r="E9" s="30">
        <v>220</v>
      </c>
      <c r="F9" s="29">
        <f>$D9*E9</f>
        <v>19800</v>
      </c>
      <c r="G9" s="31">
        <v>220</v>
      </c>
      <c r="H9" s="29">
        <f>$D9*G9</f>
        <v>19800</v>
      </c>
      <c r="I9" s="30">
        <v>220</v>
      </c>
      <c r="J9" s="29">
        <f>$D9*I9</f>
        <v>19800</v>
      </c>
      <c r="K9" s="30">
        <f t="shared" ref="K9" si="1">E9+G9+I9</f>
        <v>660</v>
      </c>
      <c r="L9" s="32">
        <f>K9*D9</f>
        <v>59400</v>
      </c>
      <c r="M9" s="33"/>
    </row>
    <row r="10" spans="1:13" s="35" customFormat="1" ht="12.75" outlineLevel="1">
      <c r="A10" s="36" t="s">
        <v>0</v>
      </c>
      <c r="B10" s="28" t="s">
        <v>11</v>
      </c>
      <c r="C10" s="51" t="s">
        <v>21</v>
      </c>
      <c r="D10" s="34">
        <v>160</v>
      </c>
      <c r="E10" s="30">
        <v>120</v>
      </c>
      <c r="F10" s="29">
        <f>$D10*E10</f>
        <v>19200</v>
      </c>
      <c r="G10" s="31">
        <v>120</v>
      </c>
      <c r="H10" s="29">
        <f>$D10*G10</f>
        <v>19200</v>
      </c>
      <c r="I10" s="30">
        <v>0</v>
      </c>
      <c r="J10" s="29">
        <f>$D10*I10</f>
        <v>0</v>
      </c>
      <c r="K10" s="30">
        <f t="shared" si="0"/>
        <v>240</v>
      </c>
      <c r="L10" s="32">
        <f>K10*D10</f>
        <v>38400</v>
      </c>
      <c r="M10" s="33"/>
    </row>
    <row r="11" spans="1:13" s="35" customFormat="1" ht="12.75" outlineLevel="1">
      <c r="A11" s="27" t="s">
        <v>246</v>
      </c>
      <c r="B11" s="28"/>
      <c r="C11" s="51"/>
      <c r="D11" s="34"/>
      <c r="E11" s="30"/>
      <c r="F11" s="29"/>
      <c r="G11" s="31"/>
      <c r="H11" s="29"/>
      <c r="I11" s="30"/>
      <c r="J11" s="29"/>
      <c r="K11" s="30"/>
      <c r="L11" s="37"/>
      <c r="M11" s="38"/>
    </row>
    <row r="12" spans="1:13" s="35" customFormat="1" ht="12.75" outlineLevel="1">
      <c r="A12" s="36" t="s">
        <v>241</v>
      </c>
      <c r="B12" s="28" t="s">
        <v>244</v>
      </c>
      <c r="C12" s="51" t="s">
        <v>245</v>
      </c>
      <c r="D12" s="34">
        <v>90</v>
      </c>
      <c r="E12" s="30">
        <v>120</v>
      </c>
      <c r="F12" s="29">
        <f>$D12*E12</f>
        <v>10800</v>
      </c>
      <c r="G12" s="31">
        <v>160</v>
      </c>
      <c r="H12" s="29">
        <f>$D12*G12</f>
        <v>14400</v>
      </c>
      <c r="I12" s="30">
        <v>160</v>
      </c>
      <c r="J12" s="29">
        <f>$D12*I12</f>
        <v>14400</v>
      </c>
      <c r="K12" s="30">
        <f t="shared" si="0"/>
        <v>440</v>
      </c>
      <c r="L12" s="32">
        <f>K12*D12</f>
        <v>39600</v>
      </c>
      <c r="M12" s="38"/>
    </row>
    <row r="13" spans="1:13" ht="16.5" customHeight="1">
      <c r="A13" s="172" t="s">
        <v>15</v>
      </c>
      <c r="B13" s="173"/>
      <c r="C13" s="164"/>
      <c r="D13" s="165"/>
      <c r="E13" s="166"/>
      <c r="F13" s="167">
        <f>SUM(F14:F17)</f>
        <v>21600</v>
      </c>
      <c r="G13" s="168"/>
      <c r="H13" s="167">
        <f>SUM(H14:H17)</f>
        <v>21600</v>
      </c>
      <c r="I13" s="169"/>
      <c r="J13" s="167">
        <f>SUM(J14:J17)</f>
        <v>21600</v>
      </c>
      <c r="K13" s="169"/>
      <c r="L13" s="170">
        <f>SUM(L14:L17)</f>
        <v>64800</v>
      </c>
      <c r="M13" s="171">
        <f>L13/$L$36</f>
        <v>0.1264390243902439</v>
      </c>
    </row>
    <row r="14" spans="1:13" s="35" customFormat="1" ht="12.75" outlineLevel="1">
      <c r="A14" s="36" t="s">
        <v>22</v>
      </c>
      <c r="B14" s="28" t="s">
        <v>250</v>
      </c>
      <c r="C14" s="51" t="s">
        <v>251</v>
      </c>
      <c r="D14" s="66">
        <v>0.22</v>
      </c>
      <c r="E14" s="30">
        <v>12000</v>
      </c>
      <c r="F14" s="29">
        <f>$D14*E14</f>
        <v>2640</v>
      </c>
      <c r="G14" s="31">
        <v>12000</v>
      </c>
      <c r="H14" s="29">
        <f>$D14*G14</f>
        <v>2640</v>
      </c>
      <c r="I14" s="30">
        <v>12000</v>
      </c>
      <c r="J14" s="29">
        <f>$D14*I14</f>
        <v>2640</v>
      </c>
      <c r="K14" s="30">
        <f>E14+G14+I14</f>
        <v>36000</v>
      </c>
      <c r="L14" s="32">
        <f>K14*D14</f>
        <v>7920</v>
      </c>
      <c r="M14" s="33"/>
    </row>
    <row r="15" spans="1:13" s="35" customFormat="1" ht="12.75" outlineLevel="1">
      <c r="A15" s="36" t="s">
        <v>23</v>
      </c>
      <c r="B15" s="28" t="s">
        <v>26</v>
      </c>
      <c r="C15" s="51" t="s">
        <v>27</v>
      </c>
      <c r="D15" s="66">
        <v>0.22</v>
      </c>
      <c r="E15" s="30">
        <v>18000</v>
      </c>
      <c r="F15" s="29">
        <f>D15*E15</f>
        <v>3960</v>
      </c>
      <c r="G15" s="30">
        <v>18000</v>
      </c>
      <c r="H15" s="29">
        <f>D15*G15</f>
        <v>3960</v>
      </c>
      <c r="I15" s="30">
        <v>18000</v>
      </c>
      <c r="J15" s="29">
        <f>D15*I15</f>
        <v>3960</v>
      </c>
      <c r="K15" s="30">
        <f>E15+G15+I15</f>
        <v>54000</v>
      </c>
      <c r="L15" s="32">
        <f>K15*D15</f>
        <v>11880</v>
      </c>
      <c r="M15" s="33"/>
    </row>
    <row r="16" spans="1:13" s="35" customFormat="1" ht="12.75" outlineLevel="1">
      <c r="A16" s="36" t="s">
        <v>24</v>
      </c>
      <c r="B16" s="28" t="s">
        <v>254</v>
      </c>
      <c r="C16" s="51" t="s">
        <v>252</v>
      </c>
      <c r="D16" s="34">
        <v>150</v>
      </c>
      <c r="E16" s="30">
        <v>50</v>
      </c>
      <c r="F16" s="29">
        <f>D16*E16</f>
        <v>7500</v>
      </c>
      <c r="G16" s="31">
        <v>50</v>
      </c>
      <c r="H16" s="29">
        <f>D16*G16</f>
        <v>7500</v>
      </c>
      <c r="I16" s="30">
        <v>50</v>
      </c>
      <c r="J16" s="29">
        <f>D16*I16</f>
        <v>7500</v>
      </c>
      <c r="K16" s="30">
        <f>E16+G16+I16</f>
        <v>150</v>
      </c>
      <c r="L16" s="32">
        <f>K16*D16</f>
        <v>22500</v>
      </c>
      <c r="M16" s="33"/>
    </row>
    <row r="17" spans="1:13" s="35" customFormat="1" ht="12.75" outlineLevel="1">
      <c r="A17" s="36" t="s">
        <v>25</v>
      </c>
      <c r="B17" s="28" t="s">
        <v>253</v>
      </c>
      <c r="C17" s="51" t="s">
        <v>255</v>
      </c>
      <c r="D17" s="34">
        <v>100</v>
      </c>
      <c r="E17" s="30">
        <v>75</v>
      </c>
      <c r="F17" s="29">
        <f>$D17*E17</f>
        <v>7500</v>
      </c>
      <c r="G17" s="31">
        <v>75</v>
      </c>
      <c r="H17" s="29">
        <f>$D17*G17</f>
        <v>7500</v>
      </c>
      <c r="I17" s="30">
        <v>75</v>
      </c>
      <c r="J17" s="29">
        <f>$D17*I17</f>
        <v>7500</v>
      </c>
      <c r="K17" s="30">
        <f>E17+G17+I17</f>
        <v>225</v>
      </c>
      <c r="L17" s="32">
        <f>K17*D17</f>
        <v>22500</v>
      </c>
      <c r="M17" s="33"/>
    </row>
    <row r="18" spans="1:13">
      <c r="A18" s="172" t="s">
        <v>256</v>
      </c>
      <c r="B18" s="173"/>
      <c r="C18" s="164"/>
      <c r="D18" s="165"/>
      <c r="E18" s="166"/>
      <c r="F18" s="167">
        <f>SUM(F19:F25)</f>
        <v>17900</v>
      </c>
      <c r="G18" s="168"/>
      <c r="H18" s="167">
        <f>SUM(H19:H25)</f>
        <v>20900</v>
      </c>
      <c r="I18" s="169"/>
      <c r="J18" s="167">
        <f>SUM(J19:J25)</f>
        <v>6500</v>
      </c>
      <c r="K18" s="169"/>
      <c r="L18" s="170">
        <f>SUM(L19:L25)</f>
        <v>45300</v>
      </c>
      <c r="M18" s="171">
        <f>L18/$L$36</f>
        <v>8.839024390243902E-2</v>
      </c>
    </row>
    <row r="19" spans="1:13" s="35" customFormat="1" ht="25.5" outlineLevel="1">
      <c r="A19" s="36" t="s">
        <v>28</v>
      </c>
      <c r="B19" s="28" t="s">
        <v>260</v>
      </c>
      <c r="C19" s="51" t="s">
        <v>35</v>
      </c>
      <c r="D19" s="34">
        <v>1000</v>
      </c>
      <c r="E19" s="30">
        <v>2</v>
      </c>
      <c r="F19" s="29">
        <f t="shared" ref="F19:F25" si="2">$D19*E19</f>
        <v>2000</v>
      </c>
      <c r="G19" s="31">
        <v>2</v>
      </c>
      <c r="H19" s="29">
        <f t="shared" ref="H19:H25" si="3">$D19*G19</f>
        <v>2000</v>
      </c>
      <c r="I19" s="30">
        <v>2</v>
      </c>
      <c r="J19" s="29">
        <f t="shared" ref="J19:J25" si="4">$D19*I19</f>
        <v>2000</v>
      </c>
      <c r="K19" s="30">
        <f t="shared" ref="K19:K25" si="5">E19+G19+I19</f>
        <v>6</v>
      </c>
      <c r="L19" s="32">
        <f t="shared" ref="L19:L25" si="6">K19*D19</f>
        <v>6000</v>
      </c>
      <c r="M19" s="33"/>
    </row>
    <row r="20" spans="1:13" s="35" customFormat="1" ht="12.75" outlineLevel="1">
      <c r="A20" s="36" t="s">
        <v>29</v>
      </c>
      <c r="B20" s="28" t="s">
        <v>36</v>
      </c>
      <c r="C20" s="51" t="s">
        <v>37</v>
      </c>
      <c r="D20" s="34">
        <v>800</v>
      </c>
      <c r="E20" s="30">
        <v>6</v>
      </c>
      <c r="F20" s="29">
        <f t="shared" si="2"/>
        <v>4800</v>
      </c>
      <c r="G20" s="31">
        <v>6</v>
      </c>
      <c r="H20" s="29">
        <f t="shared" si="3"/>
        <v>4800</v>
      </c>
      <c r="I20" s="30"/>
      <c r="J20" s="29">
        <f t="shared" si="4"/>
        <v>0</v>
      </c>
      <c r="K20" s="30">
        <f t="shared" si="5"/>
        <v>12</v>
      </c>
      <c r="L20" s="32">
        <f t="shared" si="6"/>
        <v>9600</v>
      </c>
      <c r="M20" s="33"/>
    </row>
    <row r="21" spans="1:13" s="35" customFormat="1" ht="12.75" outlineLevel="1">
      <c r="A21" s="36" t="s">
        <v>30</v>
      </c>
      <c r="B21" s="28" t="s">
        <v>34</v>
      </c>
      <c r="C21" s="51" t="s">
        <v>38</v>
      </c>
      <c r="D21" s="34">
        <v>1000</v>
      </c>
      <c r="E21" s="30">
        <v>1</v>
      </c>
      <c r="F21" s="29">
        <f t="shared" si="2"/>
        <v>1000</v>
      </c>
      <c r="G21" s="31">
        <v>1</v>
      </c>
      <c r="H21" s="29">
        <f t="shared" si="3"/>
        <v>1000</v>
      </c>
      <c r="I21" s="30">
        <v>1</v>
      </c>
      <c r="J21" s="29">
        <f t="shared" si="4"/>
        <v>1000</v>
      </c>
      <c r="K21" s="30">
        <f t="shared" si="5"/>
        <v>3</v>
      </c>
      <c r="L21" s="32">
        <f t="shared" si="6"/>
        <v>3000</v>
      </c>
      <c r="M21" s="33"/>
    </row>
    <row r="22" spans="1:13" s="35" customFormat="1" ht="25.5" outlineLevel="1">
      <c r="A22" s="36" t="s">
        <v>261</v>
      </c>
      <c r="B22" s="28" t="s">
        <v>31</v>
      </c>
      <c r="C22" s="51" t="s">
        <v>39</v>
      </c>
      <c r="D22" s="34">
        <v>800</v>
      </c>
      <c r="E22" s="30">
        <v>6</v>
      </c>
      <c r="F22" s="29">
        <f t="shared" si="2"/>
        <v>4800</v>
      </c>
      <c r="G22" s="31">
        <v>6</v>
      </c>
      <c r="H22" s="29">
        <f t="shared" si="3"/>
        <v>4800</v>
      </c>
      <c r="I22" s="30"/>
      <c r="J22" s="29">
        <f t="shared" si="4"/>
        <v>0</v>
      </c>
      <c r="K22" s="30">
        <f t="shared" si="5"/>
        <v>12</v>
      </c>
      <c r="L22" s="32">
        <f t="shared" si="6"/>
        <v>9600</v>
      </c>
      <c r="M22" s="33"/>
    </row>
    <row r="23" spans="1:13" s="35" customFormat="1" ht="25.5" outlineLevel="1">
      <c r="A23" s="36" t="s">
        <v>2</v>
      </c>
      <c r="B23" s="28" t="s">
        <v>32</v>
      </c>
      <c r="C23" s="51" t="s">
        <v>39</v>
      </c>
      <c r="D23" s="34">
        <v>800</v>
      </c>
      <c r="E23" s="30">
        <v>6</v>
      </c>
      <c r="F23" s="29">
        <f t="shared" si="2"/>
        <v>4800</v>
      </c>
      <c r="G23" s="31">
        <v>6</v>
      </c>
      <c r="H23" s="29">
        <f t="shared" si="3"/>
        <v>4800</v>
      </c>
      <c r="I23" s="30"/>
      <c r="J23" s="29">
        <f t="shared" si="4"/>
        <v>0</v>
      </c>
      <c r="K23" s="30">
        <f t="shared" si="5"/>
        <v>12</v>
      </c>
      <c r="L23" s="32">
        <f t="shared" si="6"/>
        <v>9600</v>
      </c>
      <c r="M23" s="33"/>
    </row>
    <row r="24" spans="1:13" s="35" customFormat="1" ht="25.5" outlineLevel="1">
      <c r="A24" s="36" t="s">
        <v>262</v>
      </c>
      <c r="B24" s="28" t="s">
        <v>33</v>
      </c>
      <c r="C24" s="51" t="s">
        <v>39</v>
      </c>
      <c r="D24" s="34">
        <v>500</v>
      </c>
      <c r="E24" s="30">
        <v>0</v>
      </c>
      <c r="F24" s="29">
        <f t="shared" ref="F24" si="7">$D24*E24</f>
        <v>0</v>
      </c>
      <c r="G24" s="31">
        <v>6</v>
      </c>
      <c r="H24" s="29">
        <f t="shared" ref="H24" si="8">$D24*G24</f>
        <v>3000</v>
      </c>
      <c r="I24" s="30">
        <v>6</v>
      </c>
      <c r="J24" s="29">
        <f t="shared" ref="J24" si="9">$D24*I24</f>
        <v>3000</v>
      </c>
      <c r="K24" s="30">
        <f t="shared" ref="K24" si="10">E24+G24+I24</f>
        <v>12</v>
      </c>
      <c r="L24" s="32">
        <f t="shared" ref="L24" si="11">K24*D24</f>
        <v>6000</v>
      </c>
      <c r="M24" s="33"/>
    </row>
    <row r="25" spans="1:13" s="35" customFormat="1" ht="25.5" outlineLevel="1">
      <c r="A25" s="36" t="s">
        <v>266</v>
      </c>
      <c r="B25" s="28" t="s">
        <v>267</v>
      </c>
      <c r="C25" s="51" t="s">
        <v>38</v>
      </c>
      <c r="D25" s="34">
        <v>500</v>
      </c>
      <c r="E25" s="30">
        <v>1</v>
      </c>
      <c r="F25" s="29">
        <f t="shared" si="2"/>
        <v>500</v>
      </c>
      <c r="G25" s="31">
        <v>1</v>
      </c>
      <c r="H25" s="29">
        <f t="shared" si="3"/>
        <v>500</v>
      </c>
      <c r="I25" s="30">
        <v>1</v>
      </c>
      <c r="J25" s="29">
        <f t="shared" si="4"/>
        <v>500</v>
      </c>
      <c r="K25" s="30">
        <f t="shared" si="5"/>
        <v>3</v>
      </c>
      <c r="L25" s="32">
        <f t="shared" si="6"/>
        <v>1500</v>
      </c>
      <c r="M25" s="33"/>
    </row>
    <row r="26" spans="1:13" ht="16.5" customHeight="1">
      <c r="A26" s="172" t="s">
        <v>257</v>
      </c>
      <c r="B26" s="173"/>
      <c r="C26" s="164"/>
      <c r="D26" s="165"/>
      <c r="E26" s="166"/>
      <c r="F26" s="167">
        <f>SUM(F27:F28)</f>
        <v>4000</v>
      </c>
      <c r="G26" s="168"/>
      <c r="H26" s="167">
        <f>SUM(H27:H28)</f>
        <v>4000</v>
      </c>
      <c r="I26" s="169"/>
      <c r="J26" s="167">
        <f>SUM(J27:J28)</f>
        <v>4000</v>
      </c>
      <c r="K26" s="169"/>
      <c r="L26" s="170">
        <f>SUM(L27:L28)</f>
        <v>12000</v>
      </c>
      <c r="M26" s="171">
        <f>L26/$L$36</f>
        <v>2.3414634146341463E-2</v>
      </c>
    </row>
    <row r="27" spans="1:13" s="35" customFormat="1" ht="12.75" outlineLevel="1">
      <c r="A27" s="36" t="s">
        <v>4</v>
      </c>
      <c r="B27" s="28" t="s">
        <v>40</v>
      </c>
      <c r="C27" s="51" t="s">
        <v>41</v>
      </c>
      <c r="D27" s="34">
        <v>2000</v>
      </c>
      <c r="E27" s="30">
        <v>1</v>
      </c>
      <c r="F27" s="29">
        <f>$D27*E27</f>
        <v>2000</v>
      </c>
      <c r="G27" s="31">
        <v>1</v>
      </c>
      <c r="H27" s="29">
        <f>$D27*G27</f>
        <v>2000</v>
      </c>
      <c r="I27" s="30">
        <v>1</v>
      </c>
      <c r="J27" s="29">
        <f>$D27*I27</f>
        <v>2000</v>
      </c>
      <c r="K27" s="30">
        <f>E27+G27+I27</f>
        <v>3</v>
      </c>
      <c r="L27" s="32">
        <f>K27*D27</f>
        <v>6000</v>
      </c>
      <c r="M27" s="33"/>
    </row>
    <row r="28" spans="1:13" s="35" customFormat="1" ht="12.75" outlineLevel="1">
      <c r="A28" s="36" t="s">
        <v>5</v>
      </c>
      <c r="B28" s="28" t="s">
        <v>40</v>
      </c>
      <c r="C28" s="51" t="s">
        <v>41</v>
      </c>
      <c r="D28" s="34">
        <v>2000</v>
      </c>
      <c r="E28" s="30">
        <v>1</v>
      </c>
      <c r="F28" s="29">
        <f>$D28*E28</f>
        <v>2000</v>
      </c>
      <c r="G28" s="31">
        <v>1</v>
      </c>
      <c r="H28" s="29">
        <f>$D28*G28</f>
        <v>2000</v>
      </c>
      <c r="I28" s="30">
        <v>1</v>
      </c>
      <c r="J28" s="29">
        <f>$D28*I28</f>
        <v>2000</v>
      </c>
      <c r="K28" s="30">
        <f>E28+G28+I28</f>
        <v>3</v>
      </c>
      <c r="L28" s="32">
        <f>K28*D28</f>
        <v>6000</v>
      </c>
      <c r="M28" s="33"/>
    </row>
    <row r="29" spans="1:13">
      <c r="A29" s="172" t="s">
        <v>258</v>
      </c>
      <c r="B29" s="173"/>
      <c r="C29" s="164"/>
      <c r="D29" s="165"/>
      <c r="E29" s="166"/>
      <c r="F29" s="167">
        <f>SUM(F30:F31)</f>
        <v>2000</v>
      </c>
      <c r="G29" s="168"/>
      <c r="H29" s="167">
        <f>SUM(H30:H31)</f>
        <v>44000</v>
      </c>
      <c r="I29" s="169"/>
      <c r="J29" s="167">
        <f>SUM(J30:J31)</f>
        <v>6000</v>
      </c>
      <c r="K29" s="169"/>
      <c r="L29" s="170">
        <f>SUM(L30:L31)</f>
        <v>52000</v>
      </c>
      <c r="M29" s="171">
        <f>L29/$L$36</f>
        <v>0.10146341463414635</v>
      </c>
    </row>
    <row r="30" spans="1:13" s="64" customFormat="1" ht="25.5">
      <c r="A30" s="59" t="s">
        <v>263</v>
      </c>
      <c r="B30" s="65" t="s">
        <v>43</v>
      </c>
      <c r="C30" s="68" t="s">
        <v>44</v>
      </c>
      <c r="D30" s="60">
        <v>40000</v>
      </c>
      <c r="E30" s="61"/>
      <c r="F30" s="70">
        <f>D30*E30</f>
        <v>0</v>
      </c>
      <c r="G30" s="62">
        <v>1</v>
      </c>
      <c r="H30" s="70">
        <f>D30*G30</f>
        <v>40000</v>
      </c>
      <c r="I30" s="61"/>
      <c r="J30" s="70">
        <f>D30*I30</f>
        <v>0</v>
      </c>
      <c r="K30" s="61">
        <f>I30+G30+E30</f>
        <v>1</v>
      </c>
      <c r="L30" s="71">
        <f>K30*D30</f>
        <v>40000</v>
      </c>
      <c r="M30" s="63"/>
    </row>
    <row r="31" spans="1:13" s="35" customFormat="1" ht="12.75" outlineLevel="1">
      <c r="A31" s="36" t="s">
        <v>42</v>
      </c>
      <c r="B31" s="28" t="s">
        <v>264</v>
      </c>
      <c r="C31" s="51" t="s">
        <v>265</v>
      </c>
      <c r="D31" s="34">
        <v>2000</v>
      </c>
      <c r="E31" s="30">
        <v>1</v>
      </c>
      <c r="F31" s="29">
        <f>$D31*E31</f>
        <v>2000</v>
      </c>
      <c r="G31" s="31">
        <v>2</v>
      </c>
      <c r="H31" s="29">
        <f>$D31*G31</f>
        <v>4000</v>
      </c>
      <c r="I31" s="30">
        <v>3</v>
      </c>
      <c r="J31" s="29">
        <f>$D31*I31</f>
        <v>6000</v>
      </c>
      <c r="K31" s="30">
        <f>E31+G31+I31</f>
        <v>6</v>
      </c>
      <c r="L31" s="32">
        <f>K31*D31</f>
        <v>12000</v>
      </c>
      <c r="M31" s="33"/>
    </row>
    <row r="32" spans="1:13">
      <c r="A32" s="172" t="s">
        <v>259</v>
      </c>
      <c r="B32" s="173"/>
      <c r="C32" s="164"/>
      <c r="D32" s="165"/>
      <c r="E32" s="166"/>
      <c r="F32" s="167">
        <f>SUM(F33:F35)</f>
        <v>14000</v>
      </c>
      <c r="G32" s="168"/>
      <c r="H32" s="167">
        <f>SUM(H33:H35)</f>
        <v>8000</v>
      </c>
      <c r="I32" s="169"/>
      <c r="J32" s="167">
        <f>SUM(J33:J35)</f>
        <v>14000</v>
      </c>
      <c r="K32" s="169"/>
      <c r="L32" s="170">
        <f>SUM(L33:L35)</f>
        <v>36000</v>
      </c>
      <c r="M32" s="171">
        <f>L32/$L$36</f>
        <v>7.0243902439024397E-2</v>
      </c>
    </row>
    <row r="33" spans="1:13" s="35" customFormat="1" ht="12.75" outlineLevel="1">
      <c r="A33" s="36" t="s">
        <v>6</v>
      </c>
      <c r="B33" s="28" t="s">
        <v>40</v>
      </c>
      <c r="C33" s="51" t="s">
        <v>41</v>
      </c>
      <c r="D33" s="34">
        <v>4000</v>
      </c>
      <c r="E33" s="30">
        <v>1</v>
      </c>
      <c r="F33" s="29">
        <f>$D33*E33</f>
        <v>4000</v>
      </c>
      <c r="G33" s="31">
        <v>1</v>
      </c>
      <c r="H33" s="29">
        <f>$D33*G33</f>
        <v>4000</v>
      </c>
      <c r="I33" s="30">
        <v>1</v>
      </c>
      <c r="J33" s="29">
        <f>$D33*I33</f>
        <v>4000</v>
      </c>
      <c r="K33" s="30">
        <f>E33+G33+I33</f>
        <v>3</v>
      </c>
      <c r="L33" s="32">
        <f>K33*D33</f>
        <v>12000</v>
      </c>
      <c r="M33" s="33"/>
    </row>
    <row r="34" spans="1:13" s="35" customFormat="1" ht="25.5" outlineLevel="1">
      <c r="A34" s="36" t="s">
        <v>3</v>
      </c>
      <c r="B34" s="28" t="s">
        <v>9</v>
      </c>
      <c r="C34" s="51" t="s">
        <v>45</v>
      </c>
      <c r="D34" s="34">
        <v>6000</v>
      </c>
      <c r="E34" s="30">
        <v>1</v>
      </c>
      <c r="F34" s="29">
        <f>$D34*E34</f>
        <v>6000</v>
      </c>
      <c r="G34" s="31"/>
      <c r="H34" s="29">
        <f>$D34*G34</f>
        <v>0</v>
      </c>
      <c r="I34" s="30">
        <v>1</v>
      </c>
      <c r="J34" s="29">
        <f>$D34*I34</f>
        <v>6000</v>
      </c>
      <c r="K34" s="30">
        <f>E34+G34+I34</f>
        <v>2</v>
      </c>
      <c r="L34" s="32">
        <f>K34*D34</f>
        <v>12000</v>
      </c>
      <c r="M34" s="33"/>
    </row>
    <row r="35" spans="1:13" s="35" customFormat="1" ht="12.75" outlineLevel="1">
      <c r="A35" s="36" t="s">
        <v>7</v>
      </c>
      <c r="B35" s="28" t="s">
        <v>40</v>
      </c>
      <c r="C35" s="51" t="s">
        <v>41</v>
      </c>
      <c r="D35" s="34">
        <v>4000</v>
      </c>
      <c r="E35" s="30">
        <v>1</v>
      </c>
      <c r="F35" s="29">
        <f>$D35*E35</f>
        <v>4000</v>
      </c>
      <c r="G35" s="31">
        <v>1</v>
      </c>
      <c r="H35" s="29">
        <f>$D35*G35</f>
        <v>4000</v>
      </c>
      <c r="I35" s="30">
        <v>1</v>
      </c>
      <c r="J35" s="29">
        <f>$D35*I35</f>
        <v>4000</v>
      </c>
      <c r="K35" s="30">
        <f>E35+G35+I35</f>
        <v>3</v>
      </c>
      <c r="L35" s="32">
        <f>K35*D35</f>
        <v>12000</v>
      </c>
      <c r="M35" s="33"/>
    </row>
    <row r="36" spans="1:13" s="45" customFormat="1" thickBot="1">
      <c r="A36" s="39" t="s">
        <v>10</v>
      </c>
      <c r="B36" s="40"/>
      <c r="C36" s="69"/>
      <c r="D36" s="44"/>
      <c r="E36" s="42"/>
      <c r="F36" s="41">
        <f>F32+F29+F26+F18+F13+F3</f>
        <v>161900</v>
      </c>
      <c r="G36" s="43"/>
      <c r="H36" s="41">
        <f>H32+H29+H26+H18+H13+H3</f>
        <v>208100</v>
      </c>
      <c r="I36" s="42"/>
      <c r="J36" s="41">
        <f>J32+J29+J26+J18+J13+J3</f>
        <v>142500</v>
      </c>
      <c r="K36" s="42"/>
      <c r="L36" s="41">
        <f>L32+L29+L26+L18+L13+L3</f>
        <v>512500</v>
      </c>
      <c r="M36" s="72">
        <f>SUM(M3:M35)</f>
        <v>1</v>
      </c>
    </row>
    <row r="37" spans="1:13" ht="18" thickTop="1" thickBot="1">
      <c r="A37" s="52"/>
      <c r="B37" s="53"/>
      <c r="C37" s="53"/>
      <c r="D37" s="54"/>
      <c r="E37" s="55"/>
      <c r="F37" s="54"/>
      <c r="G37" s="56"/>
      <c r="H37" s="54"/>
      <c r="I37" s="55"/>
      <c r="J37" s="54"/>
      <c r="K37" s="55"/>
      <c r="L37" s="57"/>
      <c r="M37" s="58"/>
    </row>
    <row r="38" spans="1:13" ht="17.25" thickTop="1"/>
  </sheetData>
  <customSheetViews>
    <customSheetView guid="{EFB59CDE-48E3-4D53-84B3-8D422605863F}" showPageBreaks="1" printArea="1" hiddenColumns="1" showRuler="0">
      <pane xSplit="2" ySplit="2" topLeftCell="M32" activePane="bottomRight" state="frozen"/>
      <selection pane="bottomRight" activeCell="V1" sqref="A1:V37"/>
      <rowBreaks count="1" manualBreakCount="1">
        <brk id="37" max="16383" man="1"/>
      </rowBreaks>
      <pageMargins left="0.75" right="0.75" top="1.1499999999999999" bottom="0.55000000000000004" header="0.5" footer="0.42"/>
      <printOptions horizontalCentered="1" verticalCentered="1"/>
      <pageSetup paperSize="9" scale="58" orientation="landscape" horizontalDpi="300" verticalDpi="300" r:id="rId1"/>
      <headerFooter alignWithMargins="0">
        <oddHeader>&amp;C&amp;"Arial Narrow,Bold"&amp;16CBC Programme Croatia-Bosnia &amp; Herzegovina&amp;"Arial Narrow,Regular"
Priority 3 Technical Assistance 
Proposed budget 2007-2009</oddHeader>
      </headerFooter>
    </customSheetView>
    <customSheetView guid="{BC2D69D7-2AA0-4998-A006-4DBACCF75510}" showPageBreaks="1" printArea="1" showRuler="0">
      <pane xSplit="2" ySplit="2" topLeftCell="C26" activePane="bottomRight" state="frozen"/>
      <selection pane="bottomRight" activeCell="L1" sqref="A1:L37"/>
      <rowBreaks count="1" manualBreakCount="1">
        <brk id="37" max="16383" man="1"/>
      </rowBreaks>
      <pageMargins left="0.75" right="0.75" top="1.1499999999999999" bottom="0.55000000000000004" header="0.5" footer="0.42"/>
      <printOptions horizontalCentered="1" verticalCentered="1"/>
      <pageSetup paperSize="9" scale="58" orientation="landscape" horizontalDpi="300" verticalDpi="300" r:id="rId2"/>
      <headerFooter alignWithMargins="0">
        <oddHeader>&amp;C&amp;"Arial Narrow,Bold"&amp;16CBC Programme Croatia-Bosnia &amp; Herzegovina&amp;"Arial Narrow,Regular"
Priority 3 Technical Assistance 
Proposed budget 2007-2009</oddHeader>
      </headerFooter>
    </customSheetView>
    <customSheetView guid="{810FAB36-47E8-4EEB-B6BA-3EF04A456D49}" showPageBreaks="1" printArea="1" hiddenRows="1" showRuler="0">
      <pane xSplit="2" ySplit="2" topLeftCell="M3" activePane="bottomRight" state="frozen"/>
      <selection pane="bottomRight" activeCell="U37" sqref="U4:U37"/>
      <rowBreaks count="1" manualBreakCount="1">
        <brk id="37" max="16383" man="1"/>
      </rowBreaks>
      <pageMargins left="0.75" right="0.75" top="1.1499999999999999" bottom="0.55000000000000004" header="0.5" footer="0.42"/>
      <printOptions horizontalCentered="1" verticalCentered="1"/>
      <pageSetup paperSize="9" scale="58" orientation="landscape" horizontalDpi="300" verticalDpi="300" r:id="rId3"/>
      <headerFooter alignWithMargins="0">
        <oddHeader>&amp;C&amp;"Arial Narrow,Bold"&amp;16CBC Programme Croatia-Bosnia &amp; Herzegovina&amp;"Arial Narrow,Regular"
Priority 3 Technical Assistance 
Proposed budget 2007-2009</oddHeader>
      </headerFooter>
    </customSheetView>
  </customSheetViews>
  <mergeCells count="11">
    <mergeCell ref="I1:J1"/>
    <mergeCell ref="E1:F1"/>
    <mergeCell ref="G1:H1"/>
    <mergeCell ref="K1:M1"/>
    <mergeCell ref="A1:C1"/>
    <mergeCell ref="A32:B32"/>
    <mergeCell ref="A3:B3"/>
    <mergeCell ref="A13:B13"/>
    <mergeCell ref="A18:B18"/>
    <mergeCell ref="A29:B29"/>
    <mergeCell ref="A26:B26"/>
  </mergeCells>
  <phoneticPr fontId="2" type="noConversion"/>
  <printOptions horizontalCentered="1" verticalCentered="1"/>
  <pageMargins left="0.74803149606299202" right="0.74803149606299202" top="1.14173228346457" bottom="0.55118110236220497" header="0.511811023622047" footer="0.43307086614173201"/>
  <pageSetup paperSize="9" scale="52" orientation="portrait" horizontalDpi="300" verticalDpi="300" r:id="rId4"/>
  <headerFooter alignWithMargins="0">
    <oddHeader>&amp;LAnnex 04&amp;CJTS manual of procedures under IPA II CBC programmes</oddHeader>
    <oddFooter>&amp;C&amp;A&amp;RPage &amp;P of &amp;N</oddFooter>
  </headerFooter>
  <rowBreaks count="1" manualBreakCount="1">
    <brk id="36"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7"/>
  <sheetViews>
    <sheetView view="pageBreakPreview" zoomScale="145" zoomScaleNormal="100" zoomScaleSheetLayoutView="145" workbookViewId="0">
      <selection activeCell="A16" sqref="A16"/>
    </sheetView>
  </sheetViews>
  <sheetFormatPr defaultColWidth="9" defaultRowHeight="12.75"/>
  <cols>
    <col min="1" max="1" width="29.75" style="21" bestFit="1" customWidth="1"/>
    <col min="2" max="37" width="2.625" style="22" customWidth="1"/>
    <col min="38" max="16384" width="9" style="22"/>
  </cols>
  <sheetData>
    <row r="1" spans="1:37">
      <c r="A1" s="24"/>
      <c r="B1" s="184">
        <v>2016</v>
      </c>
      <c r="C1" s="184"/>
      <c r="D1" s="184"/>
      <c r="E1" s="184"/>
      <c r="F1" s="184"/>
      <c r="G1" s="184"/>
      <c r="H1" s="184"/>
      <c r="I1" s="184"/>
      <c r="J1" s="184"/>
      <c r="K1" s="184"/>
      <c r="L1" s="184"/>
      <c r="M1" s="184"/>
      <c r="N1" s="184">
        <v>2017</v>
      </c>
      <c r="O1" s="184"/>
      <c r="P1" s="184"/>
      <c r="Q1" s="184"/>
      <c r="R1" s="184"/>
      <c r="S1" s="184"/>
      <c r="T1" s="184"/>
      <c r="U1" s="184"/>
      <c r="V1" s="184"/>
      <c r="W1" s="184"/>
      <c r="X1" s="184"/>
      <c r="Y1" s="184"/>
      <c r="Z1" s="184">
        <v>2018</v>
      </c>
      <c r="AA1" s="184"/>
      <c r="AB1" s="184"/>
      <c r="AC1" s="184"/>
      <c r="AD1" s="184"/>
      <c r="AE1" s="184"/>
      <c r="AF1" s="184"/>
      <c r="AG1" s="184"/>
      <c r="AH1" s="184"/>
      <c r="AI1" s="184"/>
      <c r="AJ1" s="184"/>
      <c r="AK1" s="184"/>
    </row>
    <row r="2" spans="1:37" s="23" customFormat="1">
      <c r="A2" s="25" t="s">
        <v>14</v>
      </c>
      <c r="B2" s="25">
        <v>1</v>
      </c>
      <c r="C2" s="25">
        <v>2</v>
      </c>
      <c r="D2" s="25">
        <v>3</v>
      </c>
      <c r="E2" s="25">
        <v>4</v>
      </c>
      <c r="F2" s="25">
        <v>5</v>
      </c>
      <c r="G2" s="25">
        <v>6</v>
      </c>
      <c r="H2" s="25">
        <v>7</v>
      </c>
      <c r="I2" s="25">
        <v>8</v>
      </c>
      <c r="J2" s="25">
        <v>9</v>
      </c>
      <c r="K2" s="25">
        <v>10</v>
      </c>
      <c r="L2" s="25">
        <v>11</v>
      </c>
      <c r="M2" s="25">
        <v>12</v>
      </c>
      <c r="N2" s="25">
        <v>1</v>
      </c>
      <c r="O2" s="25">
        <v>2</v>
      </c>
      <c r="P2" s="25">
        <v>3</v>
      </c>
      <c r="Q2" s="25">
        <v>4</v>
      </c>
      <c r="R2" s="25">
        <v>5</v>
      </c>
      <c r="S2" s="25">
        <v>6</v>
      </c>
      <c r="T2" s="25">
        <v>7</v>
      </c>
      <c r="U2" s="25">
        <v>8</v>
      </c>
      <c r="V2" s="25">
        <v>9</v>
      </c>
      <c r="W2" s="25">
        <v>10</v>
      </c>
      <c r="X2" s="25">
        <v>11</v>
      </c>
      <c r="Y2" s="25">
        <v>12</v>
      </c>
      <c r="Z2" s="25">
        <v>1</v>
      </c>
      <c r="AA2" s="25">
        <v>2</v>
      </c>
      <c r="AB2" s="25">
        <v>3</v>
      </c>
      <c r="AC2" s="25">
        <v>4</v>
      </c>
      <c r="AD2" s="25">
        <v>5</v>
      </c>
      <c r="AE2" s="25">
        <v>6</v>
      </c>
      <c r="AF2" s="25">
        <v>7</v>
      </c>
      <c r="AG2" s="25">
        <v>8</v>
      </c>
      <c r="AH2" s="25">
        <v>9</v>
      </c>
      <c r="AI2" s="25">
        <v>10</v>
      </c>
      <c r="AJ2" s="25">
        <v>11</v>
      </c>
      <c r="AK2" s="25">
        <v>12</v>
      </c>
    </row>
    <row r="3" spans="1:37" s="23" customFormat="1">
      <c r="A3" s="25" t="s">
        <v>47</v>
      </c>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row>
    <row r="4" spans="1:37">
      <c r="A4" s="26" t="s">
        <v>54</v>
      </c>
      <c r="B4" s="152"/>
      <c r="C4" s="152"/>
      <c r="D4" s="152"/>
      <c r="E4" s="152" t="s">
        <v>46</v>
      </c>
      <c r="F4" s="152" t="s">
        <v>46</v>
      </c>
      <c r="G4" s="152" t="s">
        <v>46</v>
      </c>
      <c r="H4" s="152" t="s">
        <v>46</v>
      </c>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row>
    <row r="5" spans="1:37" s="23" customFormat="1">
      <c r="A5" s="25" t="s">
        <v>48</v>
      </c>
      <c r="B5" s="151"/>
      <c r="C5" s="151"/>
      <c r="D5" s="151"/>
      <c r="E5" s="151"/>
      <c r="F5" s="151"/>
      <c r="G5" s="151"/>
      <c r="H5" s="151" t="s">
        <v>46</v>
      </c>
      <c r="I5" s="151" t="s">
        <v>46</v>
      </c>
      <c r="J5" s="151" t="s">
        <v>46</v>
      </c>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row>
    <row r="6" spans="1:37">
      <c r="A6" s="24"/>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row>
    <row r="7" spans="1:37" s="23" customFormat="1">
      <c r="A7" s="25" t="s">
        <v>49</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row>
    <row r="8" spans="1:37">
      <c r="A8" s="25"/>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row>
    <row r="9" spans="1:37">
      <c r="A9" s="25" t="s">
        <v>50</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row>
    <row r="10" spans="1:37">
      <c r="A10" s="25"/>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row>
    <row r="11" spans="1:37">
      <c r="A11" s="25" t="s">
        <v>51</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row>
    <row r="12" spans="1:37">
      <c r="A12" s="24"/>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row>
    <row r="13" spans="1:37" s="23" customFormat="1">
      <c r="A13" s="25" t="s">
        <v>52</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row>
    <row r="14" spans="1:37">
      <c r="A14" s="24"/>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row>
    <row r="15" spans="1:37" s="23" customFormat="1">
      <c r="A15" s="25" t="s">
        <v>53</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row>
    <row r="16" spans="1:37">
      <c r="A16" s="24"/>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row>
    <row r="17" spans="1:37">
      <c r="A17" s="24"/>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row>
  </sheetData>
  <mergeCells count="3">
    <mergeCell ref="B1:M1"/>
    <mergeCell ref="N1:Y1"/>
    <mergeCell ref="Z1:AK1"/>
  </mergeCells>
  <phoneticPr fontId="8" type="noConversion"/>
  <conditionalFormatting sqref="B3:AK17">
    <cfRule type="cellIs" dxfId="30" priority="1" operator="equal">
      <formula>"x"</formula>
    </cfRule>
  </conditionalFormatting>
  <printOptions horizontalCentered="1" verticalCentered="1"/>
  <pageMargins left="0.74803149606299202" right="0.74803149606299202" top="1.14173228346457" bottom="0.55118110236220497" header="0.511811023622047" footer="0.43307086614173201"/>
  <pageSetup paperSize="9" scale="65" orientation="portrait" verticalDpi="300" r:id="rId1"/>
  <headerFooter alignWithMargins="0">
    <oddHeader>&amp;LAnnex 04&amp;CJTS manual of procedures under IPA II CBC programmes</oddHeader>
    <oddFooter>&amp;C&amp;A&amp;RPage &amp;P of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view="pageBreakPreview" topLeftCell="A54" zoomScale="130" zoomScaleNormal="100" zoomScaleSheetLayoutView="130" workbookViewId="0">
      <selection activeCell="D13" sqref="D13"/>
    </sheetView>
  </sheetViews>
  <sheetFormatPr defaultColWidth="9" defaultRowHeight="11.25"/>
  <cols>
    <col min="1" max="1" width="53.125" style="7" customWidth="1"/>
    <col min="2" max="3" width="7.625" style="7" customWidth="1"/>
    <col min="4" max="4" width="7.625" style="7" bestFit="1" customWidth="1"/>
    <col min="5" max="16384" width="9" style="7"/>
  </cols>
  <sheetData>
    <row r="1" spans="1:4">
      <c r="B1" s="8"/>
      <c r="C1" s="8"/>
      <c r="D1" s="8"/>
    </row>
    <row r="2" spans="1:4" s="11" customFormat="1">
      <c r="A2" s="9" t="s">
        <v>12</v>
      </c>
      <c r="B2" s="10"/>
      <c r="C2" s="10"/>
      <c r="D2" s="10"/>
    </row>
    <row r="3" spans="1:4">
      <c r="A3" s="12" t="s">
        <v>14</v>
      </c>
      <c r="B3" s="12">
        <v>2016</v>
      </c>
      <c r="C3" s="12">
        <v>2017</v>
      </c>
      <c r="D3" s="12">
        <v>2018</v>
      </c>
    </row>
    <row r="4" spans="1:4">
      <c r="A4" s="13" t="s">
        <v>181</v>
      </c>
      <c r="B4" s="13">
        <f>B26</f>
        <v>0</v>
      </c>
      <c r="C4" s="13">
        <f t="shared" ref="C4:D4" si="0">C26</f>
        <v>0</v>
      </c>
      <c r="D4" s="13">
        <f t="shared" si="0"/>
        <v>0</v>
      </c>
    </row>
    <row r="5" spans="1:4">
      <c r="A5" s="13" t="s">
        <v>182</v>
      </c>
      <c r="B5" s="13">
        <f>SUM(B40)</f>
        <v>0</v>
      </c>
      <c r="C5" s="13">
        <f t="shared" ref="C5:D5" si="1">SUM(C40)</f>
        <v>0</v>
      </c>
      <c r="D5" s="13">
        <f t="shared" si="1"/>
        <v>0</v>
      </c>
    </row>
    <row r="6" spans="1:4">
      <c r="A6" s="13" t="s">
        <v>189</v>
      </c>
      <c r="B6" s="13">
        <f>SUM(B59)</f>
        <v>1</v>
      </c>
      <c r="C6" s="13">
        <f t="shared" ref="C6:D6" si="2">SUM(C59)</f>
        <v>393</v>
      </c>
      <c r="D6" s="13">
        <f t="shared" si="2"/>
        <v>462</v>
      </c>
    </row>
    <row r="7" spans="1:4">
      <c r="A7" s="13" t="s">
        <v>190</v>
      </c>
      <c r="B7" s="13">
        <f>SUM(B74)</f>
        <v>3</v>
      </c>
      <c r="C7" s="13">
        <f t="shared" ref="C7:D7" si="3">SUM(C74)</f>
        <v>92</v>
      </c>
      <c r="D7" s="13">
        <f t="shared" si="3"/>
        <v>92</v>
      </c>
    </row>
    <row r="8" spans="1:4">
      <c r="A8" s="13" t="s">
        <v>191</v>
      </c>
      <c r="B8" s="13">
        <f>B83</f>
        <v>3</v>
      </c>
      <c r="C8" s="13">
        <f t="shared" ref="C8:D8" si="4">C83</f>
        <v>48</v>
      </c>
      <c r="D8" s="13">
        <f t="shared" si="4"/>
        <v>48</v>
      </c>
    </row>
    <row r="9" spans="1:4">
      <c r="A9" s="13" t="s">
        <v>192</v>
      </c>
      <c r="B9" s="13">
        <f>B94</f>
        <v>3</v>
      </c>
      <c r="C9" s="13">
        <f t="shared" ref="C9:D9" si="5">C94</f>
        <v>73</v>
      </c>
      <c r="D9" s="13">
        <f t="shared" si="5"/>
        <v>73</v>
      </c>
    </row>
    <row r="10" spans="1:4">
      <c r="A10" s="13" t="s">
        <v>193</v>
      </c>
      <c r="B10" s="13">
        <f>SUM(B106)</f>
        <v>71</v>
      </c>
      <c r="C10" s="13">
        <f t="shared" ref="C10:D10" si="6">SUM(C106)</f>
        <v>108</v>
      </c>
      <c r="D10" s="13">
        <f t="shared" si="6"/>
        <v>108</v>
      </c>
    </row>
    <row r="11" spans="1:4" s="11" customFormat="1">
      <c r="A11" s="12" t="s">
        <v>13</v>
      </c>
      <c r="B11" s="9">
        <f>SUM(B4:B7)</f>
        <v>4</v>
      </c>
      <c r="C11" s="9">
        <f>SUM(C4:C10)</f>
        <v>714</v>
      </c>
      <c r="D11" s="9">
        <f>SUM(D4:D10)</f>
        <v>783</v>
      </c>
    </row>
    <row r="12" spans="1:4" s="16" customFormat="1">
      <c r="A12" s="14" t="s">
        <v>268</v>
      </c>
      <c r="B12" s="15">
        <f>SUM(B11)/215</f>
        <v>1.8604651162790697E-2</v>
      </c>
      <c r="C12" s="15">
        <f>SUM(C11)/215</f>
        <v>3.3209302325581396</v>
      </c>
      <c r="D12" s="15">
        <f>SUM(D11)/215</f>
        <v>3.6418604651162791</v>
      </c>
    </row>
    <row r="14" spans="1:4" s="11" customFormat="1">
      <c r="A14" s="11" t="s">
        <v>181</v>
      </c>
      <c r="B14" s="8"/>
      <c r="C14" s="8"/>
      <c r="D14" s="8"/>
    </row>
    <row r="15" spans="1:4">
      <c r="A15" s="12" t="s">
        <v>14</v>
      </c>
      <c r="B15" s="12">
        <v>2016</v>
      </c>
      <c r="C15" s="12">
        <v>2017</v>
      </c>
      <c r="D15" s="12">
        <v>2018</v>
      </c>
    </row>
    <row r="16" spans="1:4">
      <c r="A16" s="17" t="s">
        <v>65</v>
      </c>
      <c r="B16" s="17"/>
      <c r="C16" s="17"/>
      <c r="D16" s="17"/>
    </row>
    <row r="17" spans="1:4">
      <c r="A17" s="17" t="s">
        <v>67</v>
      </c>
      <c r="B17" s="17"/>
      <c r="C17" s="17"/>
      <c r="D17" s="17"/>
    </row>
    <row r="18" spans="1:4">
      <c r="A18" s="17" t="s">
        <v>183</v>
      </c>
      <c r="B18" s="17"/>
      <c r="C18" s="17"/>
      <c r="D18" s="17"/>
    </row>
    <row r="19" spans="1:4">
      <c r="A19" s="17" t="s">
        <v>184</v>
      </c>
      <c r="B19" s="17"/>
      <c r="C19" s="17"/>
      <c r="D19" s="17"/>
    </row>
    <row r="20" spans="1:4">
      <c r="A20" s="17" t="s">
        <v>185</v>
      </c>
      <c r="B20" s="17"/>
      <c r="C20" s="17"/>
      <c r="D20" s="17"/>
    </row>
    <row r="21" spans="1:4">
      <c r="A21" s="17" t="s">
        <v>186</v>
      </c>
      <c r="B21" s="17"/>
      <c r="C21" s="17"/>
      <c r="D21" s="17"/>
    </row>
    <row r="22" spans="1:4">
      <c r="A22" s="17" t="s">
        <v>187</v>
      </c>
      <c r="B22" s="17"/>
      <c r="C22" s="17"/>
      <c r="D22" s="17"/>
    </row>
    <row r="23" spans="1:4">
      <c r="A23" s="17" t="s">
        <v>199</v>
      </c>
      <c r="B23" s="17"/>
      <c r="C23" s="17"/>
      <c r="D23" s="17"/>
    </row>
    <row r="24" spans="1:4">
      <c r="A24" s="17" t="s">
        <v>200</v>
      </c>
      <c r="B24" s="17"/>
      <c r="C24" s="17"/>
      <c r="D24" s="17"/>
    </row>
    <row r="25" spans="1:4" ht="22.5">
      <c r="A25" s="148" t="s">
        <v>201</v>
      </c>
      <c r="B25" s="17"/>
      <c r="C25" s="17"/>
      <c r="D25" s="17"/>
    </row>
    <row r="26" spans="1:4" s="11" customFormat="1">
      <c r="A26" s="18" t="s">
        <v>13</v>
      </c>
      <c r="B26" s="18">
        <f>SUM(B16:B25)</f>
        <v>0</v>
      </c>
      <c r="C26" s="18">
        <f>SUM(C16:C25)</f>
        <v>0</v>
      </c>
      <c r="D26" s="18">
        <f>SUM(D16:D25)</f>
        <v>0</v>
      </c>
    </row>
    <row r="27" spans="1:4">
      <c r="A27" s="19"/>
      <c r="B27" s="19"/>
      <c r="C27" s="19"/>
      <c r="D27" s="19"/>
    </row>
    <row r="28" spans="1:4" s="11" customFormat="1">
      <c r="A28" s="18" t="s">
        <v>182</v>
      </c>
      <c r="B28" s="8"/>
      <c r="C28" s="8"/>
      <c r="D28" s="8"/>
    </row>
    <row r="29" spans="1:4">
      <c r="A29" s="12" t="s">
        <v>14</v>
      </c>
      <c r="B29" s="12">
        <v>2016</v>
      </c>
      <c r="C29" s="12">
        <v>2017</v>
      </c>
      <c r="D29" s="12">
        <v>2018</v>
      </c>
    </row>
    <row r="30" spans="1:4">
      <c r="A30" s="20" t="s">
        <v>80</v>
      </c>
      <c r="B30" s="17"/>
      <c r="C30" s="17"/>
      <c r="D30" s="17"/>
    </row>
    <row r="31" spans="1:4">
      <c r="A31" s="20" t="s">
        <v>81</v>
      </c>
      <c r="B31" s="17"/>
      <c r="C31" s="17"/>
      <c r="D31" s="17"/>
    </row>
    <row r="32" spans="1:4">
      <c r="A32" s="20" t="s">
        <v>194</v>
      </c>
      <c r="B32" s="17"/>
      <c r="C32" s="17"/>
      <c r="D32" s="17"/>
    </row>
    <row r="33" spans="1:4">
      <c r="A33" s="20" t="s">
        <v>195</v>
      </c>
      <c r="B33" s="17"/>
      <c r="C33" s="17"/>
      <c r="D33" s="17"/>
    </row>
    <row r="34" spans="1:4">
      <c r="A34" s="20" t="s">
        <v>196</v>
      </c>
      <c r="B34" s="17"/>
      <c r="C34" s="17"/>
      <c r="D34" s="17"/>
    </row>
    <row r="35" spans="1:4">
      <c r="A35" s="20" t="s">
        <v>197</v>
      </c>
      <c r="B35" s="17"/>
      <c r="C35" s="17"/>
      <c r="D35" s="17"/>
    </row>
    <row r="36" spans="1:4">
      <c r="A36" s="20" t="s">
        <v>198</v>
      </c>
      <c r="B36" s="17"/>
      <c r="C36" s="17"/>
      <c r="D36" s="17"/>
    </row>
    <row r="37" spans="1:4">
      <c r="A37" s="20" t="s">
        <v>188</v>
      </c>
      <c r="B37" s="17"/>
      <c r="C37" s="17"/>
      <c r="D37" s="17"/>
    </row>
    <row r="38" spans="1:4">
      <c r="A38" s="20" t="s">
        <v>232</v>
      </c>
      <c r="B38" s="17"/>
      <c r="C38" s="17"/>
      <c r="D38" s="17"/>
    </row>
    <row r="39" spans="1:4">
      <c r="A39" s="20" t="s">
        <v>233</v>
      </c>
      <c r="B39" s="17"/>
      <c r="C39" s="17"/>
      <c r="D39" s="17"/>
    </row>
    <row r="40" spans="1:4" s="11" customFormat="1">
      <c r="A40" s="18" t="s">
        <v>13</v>
      </c>
      <c r="B40" s="18">
        <f>SUM(B30:B39)</f>
        <v>0</v>
      </c>
      <c r="C40" s="18">
        <f t="shared" ref="C40:D40" si="7">SUM(C30:C39)</f>
        <v>0</v>
      </c>
      <c r="D40" s="18">
        <f t="shared" si="7"/>
        <v>0</v>
      </c>
    </row>
    <row r="41" spans="1:4">
      <c r="A41" s="19"/>
      <c r="B41" s="19"/>
      <c r="C41" s="19"/>
      <c r="D41" s="19"/>
    </row>
    <row r="42" spans="1:4" s="11" customFormat="1">
      <c r="A42" s="18" t="s">
        <v>189</v>
      </c>
      <c r="B42" s="8"/>
      <c r="C42" s="8"/>
      <c r="D42" s="8"/>
    </row>
    <row r="43" spans="1:4">
      <c r="A43" s="12" t="s">
        <v>14</v>
      </c>
      <c r="B43" s="12">
        <v>2016</v>
      </c>
      <c r="C43" s="12">
        <v>2017</v>
      </c>
      <c r="D43" s="12">
        <v>2018</v>
      </c>
    </row>
    <row r="44" spans="1:4" ht="22.5">
      <c r="A44" s="153" t="s">
        <v>92</v>
      </c>
      <c r="B44" s="17">
        <v>1</v>
      </c>
      <c r="C44" s="17">
        <v>1</v>
      </c>
      <c r="D44" s="17">
        <v>1</v>
      </c>
    </row>
    <row r="45" spans="1:4">
      <c r="A45" s="20" t="s">
        <v>202</v>
      </c>
      <c r="B45" s="17">
        <v>0</v>
      </c>
      <c r="C45" s="17">
        <v>6</v>
      </c>
      <c r="D45" s="17">
        <v>6</v>
      </c>
    </row>
    <row r="46" spans="1:4">
      <c r="A46" s="20" t="s">
        <v>94</v>
      </c>
      <c r="B46" s="17">
        <v>0</v>
      </c>
      <c r="C46" s="17">
        <v>60</v>
      </c>
      <c r="D46" s="17">
        <v>60</v>
      </c>
    </row>
    <row r="47" spans="1:4">
      <c r="A47" s="20" t="s">
        <v>95</v>
      </c>
      <c r="B47" s="17">
        <v>0</v>
      </c>
      <c r="C47" s="17">
        <v>60</v>
      </c>
      <c r="D47" s="17">
        <v>60</v>
      </c>
    </row>
    <row r="48" spans="1:4">
      <c r="A48" s="20" t="s">
        <v>203</v>
      </c>
      <c r="B48" s="17">
        <v>0</v>
      </c>
      <c r="C48" s="17">
        <v>25</v>
      </c>
      <c r="D48" s="17">
        <v>25</v>
      </c>
    </row>
    <row r="49" spans="1:4">
      <c r="A49" s="20" t="s">
        <v>204</v>
      </c>
      <c r="B49" s="17">
        <v>0</v>
      </c>
      <c r="C49" s="17">
        <v>100</v>
      </c>
      <c r="D49" s="17">
        <v>100</v>
      </c>
    </row>
    <row r="50" spans="1:4">
      <c r="A50" s="20" t="s">
        <v>205</v>
      </c>
      <c r="B50" s="17">
        <v>0</v>
      </c>
      <c r="C50" s="17">
        <v>50</v>
      </c>
      <c r="D50" s="20">
        <v>50</v>
      </c>
    </row>
    <row r="51" spans="1:4">
      <c r="A51" s="20" t="s">
        <v>206</v>
      </c>
      <c r="B51" s="17">
        <v>0</v>
      </c>
      <c r="C51" s="17">
        <v>50</v>
      </c>
      <c r="D51" s="20">
        <v>50</v>
      </c>
    </row>
    <row r="52" spans="1:4">
      <c r="A52" s="20" t="s">
        <v>207</v>
      </c>
      <c r="B52" s="17">
        <v>0</v>
      </c>
      <c r="C52" s="17">
        <v>0</v>
      </c>
      <c r="D52" s="20">
        <v>50</v>
      </c>
    </row>
    <row r="53" spans="1:4" ht="22.5">
      <c r="A53" s="153" t="s">
        <v>208</v>
      </c>
      <c r="B53" s="17">
        <v>0</v>
      </c>
      <c r="C53" s="17">
        <v>20</v>
      </c>
      <c r="D53" s="17">
        <v>20</v>
      </c>
    </row>
    <row r="54" spans="1:4">
      <c r="A54" s="20" t="s">
        <v>209</v>
      </c>
      <c r="B54" s="17">
        <v>0</v>
      </c>
      <c r="C54" s="17">
        <v>6</v>
      </c>
      <c r="D54" s="17">
        <v>6</v>
      </c>
    </row>
    <row r="55" spans="1:4">
      <c r="A55" s="20" t="s">
        <v>210</v>
      </c>
      <c r="B55" s="17">
        <v>0</v>
      </c>
      <c r="C55" s="17">
        <v>5</v>
      </c>
      <c r="D55" s="17">
        <v>5</v>
      </c>
    </row>
    <row r="56" spans="1:4">
      <c r="A56" s="20" t="s">
        <v>211</v>
      </c>
      <c r="B56" s="17">
        <v>0</v>
      </c>
      <c r="C56" s="17">
        <v>10</v>
      </c>
      <c r="D56" s="17">
        <v>10</v>
      </c>
    </row>
    <row r="57" spans="1:4">
      <c r="A57" s="20" t="s">
        <v>101</v>
      </c>
      <c r="B57" s="17">
        <v>0</v>
      </c>
      <c r="C57" s="17">
        <v>0</v>
      </c>
      <c r="D57" s="17">
        <v>12</v>
      </c>
    </row>
    <row r="58" spans="1:4" ht="22.5">
      <c r="A58" s="153" t="s">
        <v>102</v>
      </c>
      <c r="B58" s="17">
        <v>0</v>
      </c>
      <c r="C58" s="17">
        <v>0</v>
      </c>
      <c r="D58" s="17">
        <v>7</v>
      </c>
    </row>
    <row r="59" spans="1:4" s="11" customFormat="1">
      <c r="A59" s="18" t="s">
        <v>13</v>
      </c>
      <c r="B59" s="18">
        <f>SUM(B44:B58)</f>
        <v>1</v>
      </c>
      <c r="C59" s="18">
        <f>SUM(C44:C58)</f>
        <v>393</v>
      </c>
      <c r="D59" s="18">
        <f>SUM(D44:D58)</f>
        <v>462</v>
      </c>
    </row>
    <row r="60" spans="1:4" s="11" customFormat="1">
      <c r="A60" s="18"/>
      <c r="B60" s="18"/>
      <c r="C60" s="18"/>
      <c r="D60" s="18"/>
    </row>
    <row r="61" spans="1:4" s="11" customFormat="1">
      <c r="A61" s="18" t="s">
        <v>190</v>
      </c>
      <c r="B61" s="8"/>
      <c r="C61" s="8"/>
      <c r="D61" s="8"/>
    </row>
    <row r="62" spans="1:4">
      <c r="A62" s="12" t="s">
        <v>14</v>
      </c>
      <c r="B62" s="12">
        <v>2016</v>
      </c>
      <c r="C62" s="12">
        <v>2017</v>
      </c>
      <c r="D62" s="12">
        <v>2018</v>
      </c>
    </row>
    <row r="63" spans="1:4">
      <c r="A63" s="20" t="s">
        <v>105</v>
      </c>
      <c r="B63" s="17">
        <v>0</v>
      </c>
      <c r="C63" s="17">
        <v>10</v>
      </c>
      <c r="D63" s="17">
        <v>10</v>
      </c>
    </row>
    <row r="64" spans="1:4">
      <c r="A64" s="20" t="s">
        <v>212</v>
      </c>
      <c r="B64" s="17">
        <v>0</v>
      </c>
      <c r="C64" s="17">
        <v>10</v>
      </c>
      <c r="D64" s="17">
        <v>10</v>
      </c>
    </row>
    <row r="65" spans="1:4">
      <c r="A65" s="20" t="s">
        <v>213</v>
      </c>
      <c r="B65" s="17">
        <v>3</v>
      </c>
      <c r="C65" s="17">
        <v>15</v>
      </c>
      <c r="D65" s="17">
        <v>15</v>
      </c>
    </row>
    <row r="66" spans="1:4">
      <c r="A66" s="20" t="s">
        <v>214</v>
      </c>
      <c r="B66" s="17">
        <v>0</v>
      </c>
      <c r="C66" s="17">
        <v>10</v>
      </c>
      <c r="D66" s="17">
        <v>10</v>
      </c>
    </row>
    <row r="67" spans="1:4">
      <c r="A67" s="20" t="s">
        <v>215</v>
      </c>
      <c r="B67" s="17">
        <v>0</v>
      </c>
      <c r="C67" s="17">
        <v>3</v>
      </c>
      <c r="D67" s="17">
        <v>3</v>
      </c>
    </row>
    <row r="68" spans="1:4">
      <c r="A68" s="20" t="s">
        <v>216</v>
      </c>
      <c r="B68" s="17"/>
      <c r="C68" s="17"/>
      <c r="D68" s="17"/>
    </row>
    <row r="69" spans="1:4">
      <c r="A69" s="20" t="s">
        <v>217</v>
      </c>
      <c r="B69" s="17">
        <v>0</v>
      </c>
      <c r="C69" s="17">
        <v>10</v>
      </c>
      <c r="D69" s="17">
        <v>10</v>
      </c>
    </row>
    <row r="70" spans="1:4">
      <c r="A70" s="20" t="s">
        <v>108</v>
      </c>
      <c r="B70" s="17">
        <v>0</v>
      </c>
      <c r="C70" s="17">
        <v>15</v>
      </c>
      <c r="D70" s="17">
        <v>15</v>
      </c>
    </row>
    <row r="71" spans="1:4">
      <c r="A71" s="20" t="s">
        <v>218</v>
      </c>
      <c r="B71" s="17">
        <v>0</v>
      </c>
      <c r="C71" s="17">
        <v>12</v>
      </c>
      <c r="D71" s="17">
        <v>12</v>
      </c>
    </row>
    <row r="72" spans="1:4">
      <c r="A72" s="20" t="s">
        <v>219</v>
      </c>
      <c r="B72" s="17">
        <v>0</v>
      </c>
      <c r="C72" s="17">
        <v>1</v>
      </c>
      <c r="D72" s="17">
        <v>1</v>
      </c>
    </row>
    <row r="73" spans="1:4">
      <c r="A73" s="20" t="s">
        <v>220</v>
      </c>
      <c r="B73" s="17">
        <v>0</v>
      </c>
      <c r="C73" s="17">
        <v>6</v>
      </c>
      <c r="D73" s="17">
        <v>6</v>
      </c>
    </row>
    <row r="74" spans="1:4" s="11" customFormat="1">
      <c r="A74" s="18" t="s">
        <v>13</v>
      </c>
      <c r="B74" s="18">
        <f>SUM(B63:B73)</f>
        <v>3</v>
      </c>
      <c r="C74" s="18">
        <f>SUM(C63:C73)</f>
        <v>92</v>
      </c>
      <c r="D74" s="18">
        <f>SUM(D63:D73)</f>
        <v>92</v>
      </c>
    </row>
    <row r="75" spans="1:4">
      <c r="A75" s="19"/>
      <c r="B75" s="19"/>
      <c r="C75" s="19"/>
      <c r="D75" s="19"/>
    </row>
    <row r="76" spans="1:4" s="11" customFormat="1">
      <c r="A76" s="18" t="s">
        <v>191</v>
      </c>
      <c r="B76" s="8"/>
      <c r="C76" s="8"/>
      <c r="D76" s="8"/>
    </row>
    <row r="77" spans="1:4">
      <c r="A77" s="12" t="s">
        <v>14</v>
      </c>
      <c r="B77" s="12">
        <v>2016</v>
      </c>
      <c r="C77" s="12">
        <v>2017</v>
      </c>
      <c r="D77" s="12">
        <v>2018</v>
      </c>
    </row>
    <row r="78" spans="1:4">
      <c r="A78" s="20" t="s">
        <v>221</v>
      </c>
      <c r="B78" s="17">
        <v>0</v>
      </c>
      <c r="C78" s="17">
        <v>10</v>
      </c>
      <c r="D78" s="17">
        <v>10</v>
      </c>
    </row>
    <row r="79" spans="1:4">
      <c r="A79" s="20" t="s">
        <v>111</v>
      </c>
      <c r="B79" s="17">
        <v>0</v>
      </c>
      <c r="C79" s="17">
        <v>10</v>
      </c>
      <c r="D79" s="17">
        <v>10</v>
      </c>
    </row>
    <row r="80" spans="1:4">
      <c r="A80" s="20" t="s">
        <v>112</v>
      </c>
      <c r="B80" s="17">
        <v>3</v>
      </c>
      <c r="C80" s="17">
        <v>15</v>
      </c>
      <c r="D80" s="17">
        <v>15</v>
      </c>
    </row>
    <row r="81" spans="1:4">
      <c r="A81" s="20" t="s">
        <v>222</v>
      </c>
      <c r="B81" s="17">
        <v>0</v>
      </c>
      <c r="C81" s="17">
        <v>10</v>
      </c>
      <c r="D81" s="17">
        <v>10</v>
      </c>
    </row>
    <row r="82" spans="1:4">
      <c r="A82" s="20" t="s">
        <v>114</v>
      </c>
      <c r="B82" s="17">
        <v>0</v>
      </c>
      <c r="C82" s="17">
        <v>3</v>
      </c>
      <c r="D82" s="17">
        <v>3</v>
      </c>
    </row>
    <row r="83" spans="1:4" s="11" customFormat="1">
      <c r="A83" s="18" t="s">
        <v>13</v>
      </c>
      <c r="B83" s="18">
        <f>SUM(B78:B82)</f>
        <v>3</v>
      </c>
      <c r="C83" s="18">
        <f>SUM(C78:C82)</f>
        <v>48</v>
      </c>
      <c r="D83" s="18">
        <f>SUM(D78:D82)</f>
        <v>48</v>
      </c>
    </row>
    <row r="84" spans="1:4" s="11" customFormat="1">
      <c r="A84" s="18"/>
      <c r="B84" s="18"/>
      <c r="C84" s="18"/>
      <c r="D84" s="18"/>
    </row>
    <row r="85" spans="1:4" s="11" customFormat="1">
      <c r="A85" s="18" t="s">
        <v>192</v>
      </c>
      <c r="B85" s="8"/>
      <c r="C85" s="8"/>
      <c r="D85" s="8"/>
    </row>
    <row r="86" spans="1:4">
      <c r="A86" s="12" t="s">
        <v>14</v>
      </c>
      <c r="B86" s="12">
        <v>2016</v>
      </c>
      <c r="C86" s="12">
        <v>2017</v>
      </c>
      <c r="D86" s="12">
        <v>2018</v>
      </c>
    </row>
    <row r="87" spans="1:4">
      <c r="A87" s="20" t="s">
        <v>117</v>
      </c>
      <c r="B87" s="17">
        <v>0</v>
      </c>
      <c r="C87" s="17">
        <v>10</v>
      </c>
      <c r="D87" s="17">
        <v>10</v>
      </c>
    </row>
    <row r="88" spans="1:4">
      <c r="A88" s="20" t="s">
        <v>223</v>
      </c>
      <c r="B88" s="17">
        <v>0</v>
      </c>
      <c r="C88" s="17">
        <v>10</v>
      </c>
      <c r="D88" s="17">
        <v>10</v>
      </c>
    </row>
    <row r="89" spans="1:4">
      <c r="A89" s="20" t="s">
        <v>224</v>
      </c>
      <c r="B89" s="17">
        <v>3</v>
      </c>
      <c r="C89" s="17">
        <v>15</v>
      </c>
      <c r="D89" s="17">
        <v>15</v>
      </c>
    </row>
    <row r="90" spans="1:4">
      <c r="A90" s="20" t="s">
        <v>225</v>
      </c>
      <c r="B90" s="17">
        <v>0</v>
      </c>
      <c r="C90" s="17">
        <v>10</v>
      </c>
      <c r="D90" s="17">
        <v>10</v>
      </c>
    </row>
    <row r="91" spans="1:4">
      <c r="A91" s="20" t="s">
        <v>226</v>
      </c>
      <c r="B91" s="17">
        <v>0</v>
      </c>
      <c r="C91" s="17">
        <v>3</v>
      </c>
      <c r="D91" s="17">
        <v>3</v>
      </c>
    </row>
    <row r="92" spans="1:4">
      <c r="A92" s="20" t="s">
        <v>227</v>
      </c>
      <c r="B92" s="17">
        <v>0</v>
      </c>
      <c r="C92" s="17">
        <v>10</v>
      </c>
      <c r="D92" s="17">
        <v>10</v>
      </c>
    </row>
    <row r="93" spans="1:4">
      <c r="A93" s="20" t="s">
        <v>228</v>
      </c>
      <c r="B93" s="17">
        <v>0</v>
      </c>
      <c r="C93" s="17">
        <v>15</v>
      </c>
      <c r="D93" s="17">
        <v>15</v>
      </c>
    </row>
    <row r="94" spans="1:4" s="11" customFormat="1">
      <c r="A94" s="18" t="s">
        <v>13</v>
      </c>
      <c r="B94" s="18">
        <f>SUM(B87:B93)</f>
        <v>3</v>
      </c>
      <c r="C94" s="18">
        <f>SUM(C87:C93)</f>
        <v>73</v>
      </c>
      <c r="D94" s="18">
        <f>SUM(D87:D93)</f>
        <v>73</v>
      </c>
    </row>
    <row r="95" spans="1:4">
      <c r="A95" s="19"/>
      <c r="B95" s="19"/>
      <c r="C95" s="19"/>
      <c r="D95" s="19"/>
    </row>
    <row r="96" spans="1:4" s="11" customFormat="1">
      <c r="A96" s="18" t="s">
        <v>193</v>
      </c>
      <c r="B96" s="8"/>
      <c r="C96" s="8"/>
      <c r="D96" s="8"/>
    </row>
    <row r="97" spans="1:4">
      <c r="A97" s="12" t="s">
        <v>14</v>
      </c>
      <c r="B97" s="12">
        <v>2016</v>
      </c>
      <c r="C97" s="12">
        <v>2017</v>
      </c>
      <c r="D97" s="12">
        <v>2018</v>
      </c>
    </row>
    <row r="98" spans="1:4" ht="22.5">
      <c r="A98" s="153" t="s">
        <v>229</v>
      </c>
      <c r="B98" s="17">
        <v>5</v>
      </c>
      <c r="C98" s="17">
        <v>20</v>
      </c>
      <c r="D98" s="17">
        <v>20</v>
      </c>
    </row>
    <row r="99" spans="1:4">
      <c r="A99" s="20" t="s">
        <v>126</v>
      </c>
      <c r="B99" s="17">
        <v>30</v>
      </c>
      <c r="C99" s="17">
        <v>40</v>
      </c>
      <c r="D99" s="17">
        <v>40</v>
      </c>
    </row>
    <row r="100" spans="1:4">
      <c r="A100" s="20" t="s">
        <v>127</v>
      </c>
      <c r="B100" s="17">
        <v>10</v>
      </c>
      <c r="C100" s="17">
        <v>10</v>
      </c>
      <c r="D100" s="17">
        <v>10</v>
      </c>
    </row>
    <row r="101" spans="1:4">
      <c r="A101" s="20" t="s">
        <v>128</v>
      </c>
      <c r="B101" s="17">
        <v>10</v>
      </c>
      <c r="C101" s="17">
        <v>20</v>
      </c>
      <c r="D101" s="17">
        <v>20</v>
      </c>
    </row>
    <row r="102" spans="1:4">
      <c r="A102" s="20" t="s">
        <v>129</v>
      </c>
      <c r="B102" s="17">
        <v>10</v>
      </c>
      <c r="C102" s="17">
        <v>10</v>
      </c>
      <c r="D102" s="17">
        <v>10</v>
      </c>
    </row>
    <row r="103" spans="1:4">
      <c r="A103" s="20" t="s">
        <v>230</v>
      </c>
      <c r="B103" s="17">
        <v>3</v>
      </c>
      <c r="C103" s="17">
        <v>3</v>
      </c>
      <c r="D103" s="17">
        <v>3</v>
      </c>
    </row>
    <row r="104" spans="1:4">
      <c r="A104" s="20" t="s">
        <v>130</v>
      </c>
      <c r="B104" s="17">
        <v>3</v>
      </c>
      <c r="C104" s="17">
        <v>3</v>
      </c>
      <c r="D104" s="17">
        <v>3</v>
      </c>
    </row>
    <row r="105" spans="1:4">
      <c r="A105" s="20" t="s">
        <v>231</v>
      </c>
      <c r="B105" s="17">
        <v>0</v>
      </c>
      <c r="C105" s="17">
        <v>2</v>
      </c>
      <c r="D105" s="17">
        <v>2</v>
      </c>
    </row>
    <row r="106" spans="1:4" s="11" customFormat="1">
      <c r="A106" s="18" t="s">
        <v>13</v>
      </c>
      <c r="B106" s="18">
        <f>SUM(B98:B105)</f>
        <v>71</v>
      </c>
      <c r="C106" s="18">
        <f>SUM(C98:C105)</f>
        <v>108</v>
      </c>
      <c r="D106" s="18">
        <f>SUM(D98:D105)</f>
        <v>108</v>
      </c>
    </row>
  </sheetData>
  <phoneticPr fontId="8" type="noConversion"/>
  <printOptions horizontalCentered="1"/>
  <pageMargins left="0.74803149606299202" right="0.74803149606299202" top="1.14173228346457" bottom="0.55118110236220497" header="0.511811023622047" footer="0.43307086614173201"/>
  <pageSetup paperSize="9" fitToHeight="2" orientation="portrait" verticalDpi="300" r:id="rId1"/>
  <headerFooter alignWithMargins="0">
    <oddHeader>&amp;LAnnex 04&amp;CJTS manual of procedures under IPA II CBC programmes</oddHeader>
    <oddFooter>&amp;C&amp;A&amp;RPage &amp;P of &amp;N</oddFooter>
  </headerFooter>
  <rowBreaks count="1" manualBreakCount="1">
    <brk id="60"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9"/>
  <sheetViews>
    <sheetView view="pageBreakPreview" zoomScale="60" zoomScaleNormal="100" workbookViewId="0">
      <selection activeCell="A16" sqref="A16"/>
    </sheetView>
  </sheetViews>
  <sheetFormatPr defaultColWidth="9" defaultRowHeight="15.75"/>
  <cols>
    <col min="1" max="1" width="69.75" style="133" customWidth="1"/>
    <col min="2" max="2" width="9.125" style="144" customWidth="1"/>
    <col min="3" max="3" width="14.75" style="135" customWidth="1"/>
    <col min="4" max="4" width="11.25" style="135" customWidth="1"/>
    <col min="5" max="5" width="10.875" style="135" customWidth="1"/>
    <col min="6" max="16384" width="9" style="133"/>
  </cols>
  <sheetData>
    <row r="1" spans="1:6" ht="42" customHeight="1" thickBot="1">
      <c r="A1" s="187" t="s">
        <v>55</v>
      </c>
      <c r="B1" s="188"/>
      <c r="C1" s="188"/>
      <c r="D1" s="188"/>
      <c r="E1" s="189"/>
    </row>
    <row r="2" spans="1:6" ht="18" thickBot="1">
      <c r="A2" s="190" t="s">
        <v>56</v>
      </c>
      <c r="B2" s="191"/>
      <c r="C2" s="191"/>
      <c r="D2" s="191"/>
      <c r="E2" s="192"/>
    </row>
    <row r="3" spans="1:6" ht="21.75" customHeight="1" thickBot="1">
      <c r="A3" s="185" t="s">
        <v>57</v>
      </c>
      <c r="B3" s="186"/>
      <c r="C3" s="186"/>
      <c r="D3" s="186"/>
      <c r="E3" s="73">
        <f>E21+E33+E50+E63+E70+E79+E89</f>
        <v>884.22500000000002</v>
      </c>
    </row>
    <row r="4" spans="1:6" ht="21.75" customHeight="1" thickBot="1">
      <c r="A4" s="185" t="s">
        <v>58</v>
      </c>
      <c r="B4" s="186"/>
      <c r="C4" s="186"/>
      <c r="D4" s="186"/>
      <c r="E4" s="74">
        <v>215</v>
      </c>
      <c r="F4" s="134"/>
    </row>
    <row r="5" spans="1:6" ht="21.75" customHeight="1" thickBot="1">
      <c r="A5" s="193" t="s">
        <v>59</v>
      </c>
      <c r="B5" s="194"/>
      <c r="C5" s="194"/>
      <c r="D5" s="194"/>
      <c r="E5" s="75">
        <f>E3/E4</f>
        <v>4.1126744186046515</v>
      </c>
    </row>
    <row r="6" spans="1:6" ht="30.75" thickBot="1">
      <c r="A6" s="76" t="s">
        <v>60</v>
      </c>
      <c r="B6" s="77" t="s">
        <v>61</v>
      </c>
      <c r="C6" s="78" t="s">
        <v>62</v>
      </c>
      <c r="D6" s="77" t="s">
        <v>63</v>
      </c>
      <c r="E6" s="79" t="s">
        <v>64</v>
      </c>
    </row>
    <row r="7" spans="1:6" s="135" customFormat="1">
      <c r="A7" s="80" t="s">
        <v>65</v>
      </c>
      <c r="B7" s="81" t="s">
        <v>66</v>
      </c>
      <c r="C7" s="82"/>
      <c r="D7" s="82"/>
      <c r="E7" s="83">
        <v>3</v>
      </c>
    </row>
    <row r="8" spans="1:6" s="135" customFormat="1" ht="27" customHeight="1">
      <c r="A8" s="84" t="s">
        <v>67</v>
      </c>
      <c r="B8" s="85" t="s">
        <v>66</v>
      </c>
      <c r="C8" s="82"/>
      <c r="D8" s="82"/>
      <c r="E8" s="86">
        <v>66</v>
      </c>
    </row>
    <row r="9" spans="1:6" s="135" customFormat="1" ht="15" customHeight="1">
      <c r="A9" s="136" t="s">
        <v>133</v>
      </c>
      <c r="B9" s="87" t="s">
        <v>66</v>
      </c>
      <c r="C9" s="88" t="s">
        <v>68</v>
      </c>
      <c r="D9" s="137">
        <v>2</v>
      </c>
      <c r="E9" s="138">
        <f>IF(B9="y",12*2*D9/8,0)</f>
        <v>6</v>
      </c>
    </row>
    <row r="10" spans="1:6" s="135" customFormat="1" ht="32.25" customHeight="1">
      <c r="A10" s="136" t="s">
        <v>134</v>
      </c>
      <c r="B10" s="87" t="s">
        <v>66</v>
      </c>
      <c r="C10" s="89" t="s">
        <v>69</v>
      </c>
      <c r="D10" s="90">
        <v>3</v>
      </c>
      <c r="E10" s="139">
        <f>IF(B10="y",D10*7,0)</f>
        <v>21</v>
      </c>
    </row>
    <row r="11" spans="1:6" s="135" customFormat="1" ht="47.25">
      <c r="A11" s="136" t="s">
        <v>70</v>
      </c>
      <c r="B11" s="87" t="s">
        <v>66</v>
      </c>
      <c r="C11" s="91" t="s">
        <v>69</v>
      </c>
      <c r="D11" s="82">
        <f>D10</f>
        <v>3</v>
      </c>
      <c r="E11" s="139">
        <f>IF(B11="y",D11*2+2,0)</f>
        <v>8</v>
      </c>
    </row>
    <row r="12" spans="1:6" s="135" customFormat="1" ht="28.5" customHeight="1">
      <c r="A12" s="136" t="s">
        <v>71</v>
      </c>
      <c r="B12" s="87" t="s">
        <v>66</v>
      </c>
      <c r="C12" s="140" t="s">
        <v>72</v>
      </c>
      <c r="D12" s="141">
        <f>12-D10</f>
        <v>9</v>
      </c>
      <c r="E12" s="138">
        <f>IF(B12="y",D12*3,0)</f>
        <v>27</v>
      </c>
    </row>
    <row r="13" spans="1:6" s="135" customFormat="1" ht="44.25" customHeight="1">
      <c r="A13" s="92" t="s">
        <v>135</v>
      </c>
      <c r="B13" s="87" t="s">
        <v>66</v>
      </c>
      <c r="C13" s="93" t="s">
        <v>73</v>
      </c>
      <c r="D13" s="94">
        <v>16</v>
      </c>
      <c r="E13" s="95">
        <f>IF(B13="y",(D13/16)*12+4,0)</f>
        <v>16</v>
      </c>
    </row>
    <row r="14" spans="1:6" s="135" customFormat="1" ht="62.25" customHeight="1">
      <c r="A14" s="84" t="s">
        <v>136</v>
      </c>
      <c r="B14" s="87" t="s">
        <v>66</v>
      </c>
      <c r="C14" s="96" t="s">
        <v>74</v>
      </c>
      <c r="D14" s="94">
        <v>10</v>
      </c>
      <c r="E14" s="86">
        <f>IF(B14="y",6+3+D14*2+24,0)</f>
        <v>53</v>
      </c>
    </row>
    <row r="15" spans="1:6" s="135" customFormat="1" ht="34.5" customHeight="1">
      <c r="A15" s="84" t="s">
        <v>137</v>
      </c>
      <c r="B15" s="87" t="s">
        <v>66</v>
      </c>
      <c r="C15" s="97" t="s">
        <v>75</v>
      </c>
      <c r="D15" s="94">
        <v>2</v>
      </c>
      <c r="E15" s="86">
        <f>IF(B15="y",12*D15*D9*0.25/8,0)</f>
        <v>1.5</v>
      </c>
    </row>
    <row r="16" spans="1:6" s="135" customFormat="1" ht="31.5" customHeight="1">
      <c r="A16" s="84" t="s">
        <v>138</v>
      </c>
      <c r="B16" s="87" t="s">
        <v>66</v>
      </c>
      <c r="C16" s="97" t="s">
        <v>75</v>
      </c>
      <c r="D16" s="98">
        <f>D15</f>
        <v>2</v>
      </c>
      <c r="E16" s="86">
        <f>IF(B16="y",12*D16*D9*0.5/8,0)</f>
        <v>3</v>
      </c>
    </row>
    <row r="17" spans="1:5" s="135" customFormat="1" ht="31.5">
      <c r="A17" s="92" t="s">
        <v>139</v>
      </c>
      <c r="B17" s="87" t="s">
        <v>66</v>
      </c>
      <c r="C17" s="93" t="s">
        <v>76</v>
      </c>
      <c r="D17" s="94">
        <v>10</v>
      </c>
      <c r="E17" s="86">
        <f>IF(B17="y",D17*3,0)</f>
        <v>30</v>
      </c>
    </row>
    <row r="18" spans="1:5" s="135" customFormat="1" ht="15" customHeight="1">
      <c r="A18" s="92" t="s">
        <v>140</v>
      </c>
      <c r="B18" s="87" t="s">
        <v>66</v>
      </c>
      <c r="C18" s="93" t="s">
        <v>76</v>
      </c>
      <c r="D18" s="99">
        <f>D17</f>
        <v>10</v>
      </c>
      <c r="E18" s="86">
        <f>IF(B18="y",D18*0.5,0)</f>
        <v>5</v>
      </c>
    </row>
    <row r="19" spans="1:5" s="135" customFormat="1">
      <c r="A19" s="92" t="s">
        <v>141</v>
      </c>
      <c r="B19" s="87" t="s">
        <v>66</v>
      </c>
      <c r="C19" s="93" t="s">
        <v>76</v>
      </c>
      <c r="D19" s="99">
        <f>D17</f>
        <v>10</v>
      </c>
      <c r="E19" s="86">
        <f>IF(B19="y",D19,0)</f>
        <v>10</v>
      </c>
    </row>
    <row r="20" spans="1:5" s="135" customFormat="1" ht="30.75" customHeight="1" thickBot="1">
      <c r="A20" s="100" t="s">
        <v>77</v>
      </c>
      <c r="B20" s="87" t="s">
        <v>66</v>
      </c>
      <c r="C20" s="82"/>
      <c r="D20" s="82"/>
      <c r="E20" s="83">
        <v>10</v>
      </c>
    </row>
    <row r="21" spans="1:5" s="135" customFormat="1" ht="16.5" thickBot="1">
      <c r="A21" s="185" t="s">
        <v>78</v>
      </c>
      <c r="B21" s="186"/>
      <c r="C21" s="186"/>
      <c r="D21" s="186"/>
      <c r="E21" s="73">
        <f>SUMIF(B7:B8,"y",E7:E8)+SUMIF(B13:B20,"y",E13:E20)</f>
        <v>197.5</v>
      </c>
    </row>
    <row r="22" spans="1:5" s="135" customFormat="1" ht="30.75" thickBot="1">
      <c r="A22" s="101" t="s">
        <v>79</v>
      </c>
      <c r="B22" s="77" t="s">
        <v>61</v>
      </c>
      <c r="C22" s="78" t="s">
        <v>62</v>
      </c>
      <c r="D22" s="77" t="s">
        <v>63</v>
      </c>
      <c r="E22" s="79" t="s">
        <v>64</v>
      </c>
    </row>
    <row r="23" spans="1:5" s="135" customFormat="1">
      <c r="A23" s="80" t="s">
        <v>80</v>
      </c>
      <c r="B23" s="87" t="s">
        <v>66</v>
      </c>
      <c r="C23" s="82"/>
      <c r="D23" s="82"/>
      <c r="E23" s="86">
        <f>IF(B23="y",0.5,0)</f>
        <v>0.5</v>
      </c>
    </row>
    <row r="24" spans="1:5" s="135" customFormat="1">
      <c r="A24" s="84" t="s">
        <v>81</v>
      </c>
      <c r="B24" s="87" t="s">
        <v>66</v>
      </c>
      <c r="C24" s="82"/>
      <c r="D24" s="82"/>
      <c r="E24" s="86">
        <f>IF(B24="y",0.5,0)</f>
        <v>0.5</v>
      </c>
    </row>
    <row r="25" spans="1:5" s="135" customFormat="1" ht="31.5">
      <c r="A25" s="84" t="s">
        <v>142</v>
      </c>
      <c r="B25" s="87" t="s">
        <v>66</v>
      </c>
      <c r="C25" s="102" t="s">
        <v>82</v>
      </c>
      <c r="D25" s="94">
        <v>2</v>
      </c>
      <c r="E25" s="86">
        <f>IF(B25="y",D25*5,0)</f>
        <v>10</v>
      </c>
    </row>
    <row r="26" spans="1:5" s="135" customFormat="1" ht="33" customHeight="1">
      <c r="A26" s="84" t="s">
        <v>143</v>
      </c>
      <c r="B26" s="87" t="s">
        <v>66</v>
      </c>
      <c r="C26" s="82"/>
      <c r="D26" s="82"/>
      <c r="E26" s="83">
        <v>10</v>
      </c>
    </row>
    <row r="27" spans="1:5" s="135" customFormat="1" ht="31.5">
      <c r="A27" s="84" t="s">
        <v>144</v>
      </c>
      <c r="B27" s="87" t="s">
        <v>66</v>
      </c>
      <c r="C27" s="82"/>
      <c r="D27" s="82"/>
      <c r="E27" s="83">
        <v>0.1</v>
      </c>
    </row>
    <row r="28" spans="1:5" s="135" customFormat="1" ht="46.5" customHeight="1">
      <c r="A28" s="103" t="s">
        <v>145</v>
      </c>
      <c r="B28" s="87" t="s">
        <v>66</v>
      </c>
      <c r="C28" s="102" t="s">
        <v>83</v>
      </c>
      <c r="D28" s="94">
        <v>2</v>
      </c>
      <c r="E28" s="86">
        <f>IF(B28="y",D28*2*D9+0.5+0,5)</f>
        <v>8.5</v>
      </c>
    </row>
    <row r="29" spans="1:5" s="135" customFormat="1" ht="42" customHeight="1">
      <c r="A29" s="84" t="s">
        <v>146</v>
      </c>
      <c r="B29" s="87" t="s">
        <v>66</v>
      </c>
      <c r="C29" s="102" t="s">
        <v>84</v>
      </c>
      <c r="D29" s="94">
        <v>2</v>
      </c>
      <c r="E29" s="86">
        <f>IF(B29="y",D29*3*D9+5+1,0)</f>
        <v>18</v>
      </c>
    </row>
    <row r="30" spans="1:5" s="135" customFormat="1" ht="31.5">
      <c r="A30" s="84" t="s">
        <v>147</v>
      </c>
      <c r="B30" s="87" t="s">
        <v>66</v>
      </c>
      <c r="C30" s="104" t="s">
        <v>85</v>
      </c>
      <c r="D30" s="94">
        <v>10</v>
      </c>
      <c r="E30" s="86">
        <f>IF(B30="y",D30*0.5/8,0)</f>
        <v>0.625</v>
      </c>
    </row>
    <row r="31" spans="1:5" s="135" customFormat="1" ht="30">
      <c r="A31" s="105" t="s">
        <v>86</v>
      </c>
      <c r="B31" s="106" t="s">
        <v>87</v>
      </c>
      <c r="C31" s="107" t="s">
        <v>88</v>
      </c>
      <c r="D31" s="108">
        <v>5</v>
      </c>
      <c r="E31" s="109">
        <f>IF(B31="y",D31*2*$E$9,0)</f>
        <v>0</v>
      </c>
    </row>
    <row r="32" spans="1:5" s="135" customFormat="1" ht="30.75" thickBot="1">
      <c r="A32" s="110" t="s">
        <v>89</v>
      </c>
      <c r="B32" s="111" t="s">
        <v>87</v>
      </c>
      <c r="C32" s="112" t="s">
        <v>88</v>
      </c>
      <c r="D32" s="113">
        <v>20</v>
      </c>
      <c r="E32" s="114">
        <f>IF(B32="y",D32*4/8,0)</f>
        <v>0</v>
      </c>
    </row>
    <row r="33" spans="1:15" s="135" customFormat="1" ht="16.5" thickBot="1">
      <c r="A33" s="197" t="s">
        <v>90</v>
      </c>
      <c r="B33" s="198"/>
      <c r="C33" s="198"/>
      <c r="D33" s="198"/>
      <c r="E33" s="115">
        <f>SUMIF(B23:B32,"y",E23:E32)</f>
        <v>48.225000000000001</v>
      </c>
    </row>
    <row r="34" spans="1:15" s="135" customFormat="1" ht="30.75" thickBot="1">
      <c r="A34" s="101" t="s">
        <v>91</v>
      </c>
      <c r="B34" s="77" t="s">
        <v>61</v>
      </c>
      <c r="C34" s="78" t="s">
        <v>62</v>
      </c>
      <c r="D34" s="77" t="s">
        <v>63</v>
      </c>
      <c r="E34" s="79" t="s">
        <v>64</v>
      </c>
    </row>
    <row r="35" spans="1:15" s="135" customFormat="1" ht="30">
      <c r="A35" s="80" t="s">
        <v>92</v>
      </c>
      <c r="B35" s="87" t="s">
        <v>87</v>
      </c>
      <c r="C35" s="82"/>
      <c r="D35" s="82"/>
      <c r="E35" s="83">
        <v>0.5</v>
      </c>
    </row>
    <row r="36" spans="1:15" s="135" customFormat="1" ht="30.75" customHeight="1">
      <c r="A36" s="84" t="s">
        <v>148</v>
      </c>
      <c r="B36" s="87" t="s">
        <v>87</v>
      </c>
      <c r="C36" s="102" t="s">
        <v>93</v>
      </c>
      <c r="D36" s="94">
        <v>1</v>
      </c>
      <c r="E36" s="86">
        <f>IF(B36="y",9/3^D36,0)</f>
        <v>0</v>
      </c>
    </row>
    <row r="37" spans="1:15" s="135" customFormat="1">
      <c r="A37" s="84" t="s">
        <v>94</v>
      </c>
      <c r="B37" s="87" t="s">
        <v>87</v>
      </c>
      <c r="C37" s="82"/>
      <c r="D37" s="82"/>
      <c r="E37" s="83">
        <v>0.5</v>
      </c>
    </row>
    <row r="38" spans="1:15" s="135" customFormat="1">
      <c r="A38" s="84" t="s">
        <v>95</v>
      </c>
      <c r="B38" s="87" t="s">
        <v>87</v>
      </c>
      <c r="C38" s="82"/>
      <c r="D38" s="82"/>
      <c r="E38" s="83">
        <v>5</v>
      </c>
    </row>
    <row r="39" spans="1:15" s="135" customFormat="1" ht="60.75" customHeight="1">
      <c r="A39" s="84" t="s">
        <v>149</v>
      </c>
      <c r="B39" s="87" t="s">
        <v>87</v>
      </c>
      <c r="C39" s="116" t="s">
        <v>96</v>
      </c>
      <c r="D39" s="94">
        <v>100</v>
      </c>
      <c r="E39" s="86">
        <f>IF(B39="y",D39*0.75*D40/8+1+3+(3+3)*3,0)</f>
        <v>0</v>
      </c>
      <c r="F39" s="201"/>
      <c r="G39" s="202"/>
      <c r="H39" s="202"/>
      <c r="I39" s="202"/>
      <c r="J39" s="202"/>
      <c r="K39" s="202"/>
      <c r="L39" s="202"/>
      <c r="M39" s="202"/>
      <c r="N39" s="202"/>
      <c r="O39" s="202"/>
    </row>
    <row r="40" spans="1:15" s="135" customFormat="1" ht="47.25">
      <c r="A40" s="84" t="s">
        <v>150</v>
      </c>
      <c r="B40" s="87" t="s">
        <v>87</v>
      </c>
      <c r="C40" s="91" t="s">
        <v>97</v>
      </c>
      <c r="D40" s="94">
        <v>1</v>
      </c>
      <c r="E40" s="86">
        <f>IF(B40="y",D39*0.5/8,0)</f>
        <v>0</v>
      </c>
    </row>
    <row r="41" spans="1:15" s="135" customFormat="1" ht="45">
      <c r="A41" s="84" t="s">
        <v>151</v>
      </c>
      <c r="B41" s="85" t="s">
        <v>87</v>
      </c>
      <c r="C41" s="102" t="s">
        <v>96</v>
      </c>
      <c r="D41" s="117">
        <f>D39</f>
        <v>100</v>
      </c>
      <c r="E41" s="86">
        <f>IF(B41="y",D41*0.5/8,0)</f>
        <v>0</v>
      </c>
    </row>
    <row r="42" spans="1:15" s="135" customFormat="1" ht="45">
      <c r="A42" s="84" t="s">
        <v>152</v>
      </c>
      <c r="B42" s="85" t="s">
        <v>87</v>
      </c>
      <c r="C42" s="102" t="s">
        <v>96</v>
      </c>
      <c r="D42" s="117">
        <f>D39</f>
        <v>100</v>
      </c>
      <c r="E42" s="86">
        <f>IF(B42="y",D42*0.2/8,0)</f>
        <v>0</v>
      </c>
    </row>
    <row r="43" spans="1:15" s="135" customFormat="1" ht="48.75" customHeight="1">
      <c r="A43" s="84" t="s">
        <v>153</v>
      </c>
      <c r="B43" s="87" t="s">
        <v>87</v>
      </c>
      <c r="C43" s="116" t="s">
        <v>98</v>
      </c>
      <c r="D43" s="94">
        <v>15</v>
      </c>
      <c r="E43" s="86">
        <f>IF(B43="y",IF(B40="y",D43*2*0.75/8+1+3+3+3,D39*0.75/8+1+3+3+3),0)</f>
        <v>0</v>
      </c>
    </row>
    <row r="44" spans="1:15" s="135" customFormat="1" ht="63" customHeight="1">
      <c r="A44" s="84" t="s">
        <v>154</v>
      </c>
      <c r="B44" s="87" t="s">
        <v>87</v>
      </c>
      <c r="C44" s="102" t="s">
        <v>99</v>
      </c>
      <c r="D44" s="94">
        <v>1</v>
      </c>
      <c r="E44" s="86">
        <f>IF(B44="y",IF(D44=1,D39*0.5/8,D43*2*0.5/8),0)</f>
        <v>0</v>
      </c>
    </row>
    <row r="45" spans="1:15" s="135" customFormat="1" ht="45.75" customHeight="1">
      <c r="A45" s="84" t="s">
        <v>155</v>
      </c>
      <c r="B45" s="87" t="s">
        <v>87</v>
      </c>
      <c r="C45" s="102" t="s">
        <v>100</v>
      </c>
      <c r="D45" s="99">
        <f>$D$43*2</f>
        <v>30</v>
      </c>
      <c r="E45" s="86">
        <f>IF(B45="y",IF(D40=2,D39*0.5/8, D45*0.5/8),0)</f>
        <v>0</v>
      </c>
    </row>
    <row r="46" spans="1:15" s="135" customFormat="1" ht="45.75" customHeight="1">
      <c r="A46" s="84" t="s">
        <v>156</v>
      </c>
      <c r="B46" s="87" t="s">
        <v>87</v>
      </c>
      <c r="C46" s="102" t="s">
        <v>100</v>
      </c>
      <c r="D46" s="99">
        <f>$D$43*2</f>
        <v>30</v>
      </c>
      <c r="E46" s="86">
        <f>IF(B46="y",IF(D40=2,D39*0.2/8,D46*0.2/8),0)</f>
        <v>0</v>
      </c>
    </row>
    <row r="47" spans="1:15" s="135" customFormat="1" ht="47.25" customHeight="1">
      <c r="A47" s="84" t="s">
        <v>157</v>
      </c>
      <c r="B47" s="87" t="s">
        <v>87</v>
      </c>
      <c r="C47" s="116" t="s">
        <v>98</v>
      </c>
      <c r="D47" s="99">
        <f>D43</f>
        <v>15</v>
      </c>
      <c r="E47" s="86">
        <f>IF(B47="y",D47*3,0)</f>
        <v>0</v>
      </c>
    </row>
    <row r="48" spans="1:15" s="135" customFormat="1">
      <c r="A48" s="84" t="s">
        <v>101</v>
      </c>
      <c r="B48" s="87" t="s">
        <v>87</v>
      </c>
      <c r="C48" s="82"/>
      <c r="D48" s="82"/>
      <c r="E48" s="83">
        <v>0.5</v>
      </c>
    </row>
    <row r="49" spans="1:15" s="135" customFormat="1" ht="30.75" thickBot="1">
      <c r="A49" s="118" t="s">
        <v>102</v>
      </c>
      <c r="B49" s="87" t="s">
        <v>66</v>
      </c>
      <c r="C49" s="82"/>
      <c r="D49" s="82"/>
      <c r="E49" s="83">
        <v>5</v>
      </c>
    </row>
    <row r="50" spans="1:15" s="135" customFormat="1" ht="16.5" thickBot="1">
      <c r="A50" s="197" t="s">
        <v>103</v>
      </c>
      <c r="B50" s="198"/>
      <c r="C50" s="198"/>
      <c r="D50" s="198"/>
      <c r="E50" s="115">
        <f>SUMIF(B35:B49,"y",E35:E49)</f>
        <v>5</v>
      </c>
    </row>
    <row r="51" spans="1:15" s="135" customFormat="1" ht="30.75" thickBot="1">
      <c r="A51" s="101" t="s">
        <v>104</v>
      </c>
      <c r="B51" s="77" t="s">
        <v>61</v>
      </c>
      <c r="C51" s="78" t="s">
        <v>62</v>
      </c>
      <c r="D51" s="77" t="s">
        <v>63</v>
      </c>
      <c r="E51" s="79" t="s">
        <v>64</v>
      </c>
    </row>
    <row r="52" spans="1:15" s="135" customFormat="1" ht="30">
      <c r="A52" s="80" t="s">
        <v>105</v>
      </c>
      <c r="B52" s="87" t="s">
        <v>66</v>
      </c>
      <c r="C52" s="119" t="s">
        <v>106</v>
      </c>
      <c r="D52" s="94">
        <v>2</v>
      </c>
      <c r="E52" s="120">
        <f>IF(B52="y",IF(D52=1,15,5),0)</f>
        <v>5</v>
      </c>
    </row>
    <row r="53" spans="1:15" s="135" customFormat="1" ht="48" customHeight="1">
      <c r="A53" s="84" t="s">
        <v>158</v>
      </c>
      <c r="B53" s="87" t="s">
        <v>87</v>
      </c>
      <c r="C53" s="102" t="s">
        <v>107</v>
      </c>
      <c r="D53" s="94">
        <v>1</v>
      </c>
      <c r="E53" s="86">
        <f>IF(B53="y",D53*3*D9+5+1,0)</f>
        <v>0</v>
      </c>
      <c r="F53" s="195"/>
      <c r="G53" s="203"/>
      <c r="H53" s="203"/>
      <c r="I53" s="203"/>
      <c r="J53" s="203"/>
      <c r="K53" s="203"/>
      <c r="L53" s="203"/>
      <c r="M53" s="203"/>
      <c r="N53" s="203"/>
      <c r="O53" s="203"/>
    </row>
    <row r="54" spans="1:15" s="135" customFormat="1" ht="33" customHeight="1">
      <c r="A54" s="84" t="s">
        <v>159</v>
      </c>
      <c r="B54" s="87" t="s">
        <v>66</v>
      </c>
      <c r="C54" s="102" t="s">
        <v>74</v>
      </c>
      <c r="D54" s="117">
        <f>$D$14</f>
        <v>10</v>
      </c>
      <c r="E54" s="86">
        <f>IF(B54="y",D54*2,0)</f>
        <v>20</v>
      </c>
    </row>
    <row r="55" spans="1:15" s="135" customFormat="1" ht="32.25" customHeight="1">
      <c r="A55" s="84" t="s">
        <v>160</v>
      </c>
      <c r="B55" s="87" t="s">
        <v>66</v>
      </c>
      <c r="C55" s="104" t="s">
        <v>74</v>
      </c>
      <c r="D55" s="117">
        <f>$D$14</f>
        <v>10</v>
      </c>
      <c r="E55" s="86">
        <f>IF(B55="y",D55*(2+3),0)</f>
        <v>50</v>
      </c>
    </row>
    <row r="56" spans="1:15" s="135" customFormat="1" ht="31.5" customHeight="1">
      <c r="A56" s="84" t="s">
        <v>161</v>
      </c>
      <c r="B56" s="87" t="s">
        <v>66</v>
      </c>
      <c r="C56" s="104" t="s">
        <v>74</v>
      </c>
      <c r="D56" s="117">
        <f>$D$14</f>
        <v>10</v>
      </c>
      <c r="E56" s="86">
        <f>IF(B56="y",D56*10*1,0)</f>
        <v>100</v>
      </c>
    </row>
    <row r="57" spans="1:15" s="135" customFormat="1" ht="32.25" customHeight="1">
      <c r="A57" s="84" t="s">
        <v>162</v>
      </c>
      <c r="B57" s="87" t="s">
        <v>66</v>
      </c>
      <c r="C57" s="102" t="s">
        <v>74</v>
      </c>
      <c r="D57" s="117">
        <f>$D$14</f>
        <v>10</v>
      </c>
      <c r="E57" s="86">
        <f>IF(B57="y",D57*2,0)</f>
        <v>20</v>
      </c>
    </row>
    <row r="58" spans="1:15" s="135" customFormat="1" ht="32.25" customHeight="1">
      <c r="A58" s="84" t="s">
        <v>163</v>
      </c>
      <c r="B58" s="87" t="s">
        <v>66</v>
      </c>
      <c r="C58" s="102" t="s">
        <v>74</v>
      </c>
      <c r="D58" s="117">
        <f>$D$14</f>
        <v>10</v>
      </c>
      <c r="E58" s="86">
        <f>IF(B58="y",D58*2,0)</f>
        <v>20</v>
      </c>
    </row>
    <row r="59" spans="1:15" s="135" customFormat="1">
      <c r="A59" s="84" t="s">
        <v>108</v>
      </c>
      <c r="B59" s="87" t="s">
        <v>66</v>
      </c>
      <c r="C59" s="82"/>
      <c r="D59" s="82"/>
      <c r="E59" s="83">
        <v>0.5</v>
      </c>
    </row>
    <row r="60" spans="1:15" s="135" customFormat="1" ht="31.5" customHeight="1">
      <c r="A60" s="84" t="s">
        <v>164</v>
      </c>
      <c r="B60" s="87" t="s">
        <v>66</v>
      </c>
      <c r="C60" s="102" t="s">
        <v>74</v>
      </c>
      <c r="D60" s="117">
        <f>$D$14</f>
        <v>10</v>
      </c>
      <c r="E60" s="86">
        <f>IF(B60="y",D60*3*3,0)</f>
        <v>90</v>
      </c>
    </row>
    <row r="61" spans="1:15" s="135" customFormat="1" ht="30" customHeight="1">
      <c r="A61" s="84" t="s">
        <v>165</v>
      </c>
      <c r="B61" s="87" t="s">
        <v>66</v>
      </c>
      <c r="C61" s="102" t="s">
        <v>74</v>
      </c>
      <c r="D61" s="117">
        <f>$D$14</f>
        <v>10</v>
      </c>
      <c r="E61" s="86">
        <f>IF(B61="y",D61*2*3,0)</f>
        <v>60</v>
      </c>
      <c r="F61" s="195"/>
      <c r="G61" s="196"/>
      <c r="H61" s="196"/>
      <c r="I61" s="196"/>
      <c r="J61" s="196"/>
      <c r="K61" s="196"/>
      <c r="L61" s="196"/>
      <c r="M61" s="196"/>
      <c r="N61" s="196"/>
      <c r="O61" s="196"/>
    </row>
    <row r="62" spans="1:15" s="135" customFormat="1" ht="31.5" customHeight="1">
      <c r="A62" s="84" t="s">
        <v>166</v>
      </c>
      <c r="B62" s="87" t="s">
        <v>66</v>
      </c>
      <c r="C62" s="102" t="s">
        <v>74</v>
      </c>
      <c r="D62" s="117">
        <f>$D$14</f>
        <v>10</v>
      </c>
      <c r="E62" s="86">
        <f>IF(B62="y",D62*0.5,0)</f>
        <v>5</v>
      </c>
    </row>
    <row r="63" spans="1:15" s="135" customFormat="1" ht="16.5" thickBot="1">
      <c r="A63" s="197" t="s">
        <v>109</v>
      </c>
      <c r="B63" s="198"/>
      <c r="C63" s="198"/>
      <c r="D63" s="198"/>
      <c r="E63" s="115">
        <f>SUMIF(B52:B62,"y",E52:E62)</f>
        <v>370.5</v>
      </c>
    </row>
    <row r="64" spans="1:15" s="135" customFormat="1" ht="30.75" thickBot="1">
      <c r="A64" s="101" t="s">
        <v>110</v>
      </c>
      <c r="B64" s="77" t="s">
        <v>61</v>
      </c>
      <c r="C64" s="78" t="s">
        <v>62</v>
      </c>
      <c r="D64" s="77" t="s">
        <v>63</v>
      </c>
      <c r="E64" s="79" t="s">
        <v>64</v>
      </c>
    </row>
    <row r="65" spans="1:15" s="135" customFormat="1" ht="31.5" customHeight="1">
      <c r="A65" s="80" t="s">
        <v>167</v>
      </c>
      <c r="B65" s="87" t="s">
        <v>66</v>
      </c>
      <c r="C65" s="82"/>
      <c r="D65" s="82"/>
      <c r="E65" s="83">
        <v>20</v>
      </c>
      <c r="F65" s="195"/>
      <c r="G65" s="196"/>
      <c r="H65" s="196"/>
      <c r="I65" s="196"/>
      <c r="J65" s="196"/>
      <c r="K65" s="196"/>
      <c r="L65" s="196"/>
      <c r="M65" s="196"/>
      <c r="N65" s="196"/>
      <c r="O65" s="196"/>
    </row>
    <row r="66" spans="1:15" s="135" customFormat="1" ht="27.75" customHeight="1">
      <c r="A66" s="84" t="s">
        <v>111</v>
      </c>
      <c r="B66" s="87" t="s">
        <v>66</v>
      </c>
      <c r="C66" s="82"/>
      <c r="D66" s="82"/>
      <c r="E66" s="83">
        <v>2</v>
      </c>
    </row>
    <row r="67" spans="1:15" s="135" customFormat="1" ht="19.5" customHeight="1">
      <c r="A67" s="84" t="s">
        <v>112</v>
      </c>
      <c r="B67" s="87" t="s">
        <v>66</v>
      </c>
      <c r="C67" s="82"/>
      <c r="D67" s="82"/>
      <c r="E67" s="83">
        <v>5</v>
      </c>
    </row>
    <row r="68" spans="1:15" s="135" customFormat="1" ht="47.25" customHeight="1">
      <c r="A68" s="84" t="s">
        <v>168</v>
      </c>
      <c r="B68" s="87" t="s">
        <v>66</v>
      </c>
      <c r="C68" s="116" t="s">
        <v>113</v>
      </c>
      <c r="D68" s="94">
        <v>2</v>
      </c>
      <c r="E68" s="95">
        <f>IF(B68="y",D68*(1+2*D9+2),0)</f>
        <v>14</v>
      </c>
    </row>
    <row r="69" spans="1:15" s="135" customFormat="1" ht="19.5" customHeight="1">
      <c r="A69" s="84" t="s">
        <v>114</v>
      </c>
      <c r="B69" s="87" t="s">
        <v>66</v>
      </c>
      <c r="C69" s="82"/>
      <c r="D69" s="82"/>
      <c r="E69" s="83">
        <v>5</v>
      </c>
    </row>
    <row r="70" spans="1:15" s="135" customFormat="1" ht="16.5" thickBot="1">
      <c r="A70" s="197" t="s">
        <v>115</v>
      </c>
      <c r="B70" s="198"/>
      <c r="C70" s="198"/>
      <c r="D70" s="198"/>
      <c r="E70" s="115">
        <f>SUMIF(B65:B69,"y",E65:E69)</f>
        <v>46</v>
      </c>
    </row>
    <row r="71" spans="1:15" s="135" customFormat="1" ht="30.75" thickBot="1">
      <c r="A71" s="101" t="s">
        <v>116</v>
      </c>
      <c r="B71" s="77" t="s">
        <v>61</v>
      </c>
      <c r="C71" s="78" t="s">
        <v>62</v>
      </c>
      <c r="D71" s="77" t="s">
        <v>63</v>
      </c>
      <c r="E71" s="79" t="s">
        <v>64</v>
      </c>
    </row>
    <row r="72" spans="1:15" s="135" customFormat="1" ht="18" customHeight="1">
      <c r="A72" s="80" t="s">
        <v>117</v>
      </c>
      <c r="B72" s="87" t="s">
        <v>66</v>
      </c>
      <c r="C72" s="82"/>
      <c r="D72" s="82"/>
      <c r="E72" s="83">
        <v>5</v>
      </c>
    </row>
    <row r="73" spans="1:15" s="135" customFormat="1" ht="30.75" customHeight="1">
      <c r="A73" s="84" t="s">
        <v>169</v>
      </c>
      <c r="B73" s="87" t="s">
        <v>66</v>
      </c>
      <c r="C73" s="102" t="s">
        <v>118</v>
      </c>
      <c r="D73" s="94">
        <v>10</v>
      </c>
      <c r="E73" s="86">
        <f>IF(B73="y",D73*0.2*12,0)</f>
        <v>24</v>
      </c>
    </row>
    <row r="74" spans="1:15" s="135" customFormat="1" ht="32.25" customHeight="1">
      <c r="A74" s="84" t="s">
        <v>170</v>
      </c>
      <c r="B74" s="87" t="s">
        <v>66</v>
      </c>
      <c r="C74" s="102" t="s">
        <v>119</v>
      </c>
      <c r="D74" s="94">
        <v>1</v>
      </c>
      <c r="E74" s="86">
        <f>IF(B74="y",D74*(3+1+D9*2),0)</f>
        <v>8</v>
      </c>
    </row>
    <row r="75" spans="1:15" s="135" customFormat="1" ht="35.25" customHeight="1">
      <c r="A75" s="84" t="s">
        <v>120</v>
      </c>
      <c r="B75" s="87" t="s">
        <v>66</v>
      </c>
      <c r="C75" s="82"/>
      <c r="D75" s="82"/>
      <c r="E75" s="83">
        <v>5</v>
      </c>
      <c r="F75" s="199"/>
      <c r="G75" s="200"/>
      <c r="H75" s="200"/>
      <c r="I75" s="200"/>
      <c r="J75" s="200"/>
      <c r="K75" s="200"/>
      <c r="L75" s="200"/>
      <c r="M75" s="200"/>
      <c r="N75" s="200"/>
    </row>
    <row r="76" spans="1:15" s="135" customFormat="1" ht="31.5">
      <c r="A76" s="84" t="s">
        <v>171</v>
      </c>
      <c r="B76" s="87" t="s">
        <v>66</v>
      </c>
      <c r="C76" s="82"/>
      <c r="D76" s="82"/>
      <c r="E76" s="83">
        <v>24</v>
      </c>
    </row>
    <row r="77" spans="1:15" s="135" customFormat="1" ht="18" customHeight="1">
      <c r="A77" s="84" t="s">
        <v>172</v>
      </c>
      <c r="B77" s="87" t="s">
        <v>66</v>
      </c>
      <c r="C77" s="82"/>
      <c r="D77" s="82"/>
      <c r="E77" s="83">
        <v>24</v>
      </c>
    </row>
    <row r="78" spans="1:15" s="135" customFormat="1">
      <c r="A78" s="84" t="s">
        <v>173</v>
      </c>
      <c r="B78" s="87" t="s">
        <v>66</v>
      </c>
      <c r="C78" s="82"/>
      <c r="D78" s="82"/>
      <c r="E78" s="83">
        <v>6</v>
      </c>
    </row>
    <row r="79" spans="1:15" s="135" customFormat="1" ht="16.5" thickBot="1">
      <c r="A79" s="121" t="s">
        <v>121</v>
      </c>
      <c r="B79" s="122"/>
      <c r="C79" s="122"/>
      <c r="D79" s="122"/>
      <c r="E79" s="115">
        <f>SUMIF(B72:B78,"y",E72:E78)</f>
        <v>96</v>
      </c>
    </row>
    <row r="80" spans="1:15" s="135" customFormat="1" ht="30.75" thickBot="1">
      <c r="A80" s="101" t="s">
        <v>122</v>
      </c>
      <c r="B80" s="77" t="s">
        <v>61</v>
      </c>
      <c r="C80" s="78" t="s">
        <v>62</v>
      </c>
      <c r="D80" s="77" t="s">
        <v>63</v>
      </c>
      <c r="E80" s="79" t="s">
        <v>64</v>
      </c>
    </row>
    <row r="81" spans="1:15" s="135" customFormat="1" ht="63" customHeight="1">
      <c r="A81" s="123" t="s">
        <v>123</v>
      </c>
      <c r="B81" s="87" t="s">
        <v>66</v>
      </c>
      <c r="C81" s="119" t="s">
        <v>124</v>
      </c>
      <c r="D81" s="124" t="s">
        <v>125</v>
      </c>
      <c r="E81" s="120">
        <f>IF(B81="y",IF(ISNUMBER(SEARCH("p",D81)),10,0)+IF(ISNUMBER(SEARCH("o",D81)),20,0)+IF(ISNUMBER(SEARCH("r",D81)),5,0)+IF(ISNUMBER(SEARCH("v",D81)),5,0),0)</f>
        <v>40</v>
      </c>
      <c r="F81" s="125"/>
    </row>
    <row r="82" spans="1:15" s="135" customFormat="1">
      <c r="A82" s="84" t="s">
        <v>126</v>
      </c>
      <c r="B82" s="87" t="s">
        <v>66</v>
      </c>
      <c r="C82" s="82"/>
      <c r="D82" s="82"/>
      <c r="E82" s="83">
        <v>5</v>
      </c>
    </row>
    <row r="83" spans="1:15" s="135" customFormat="1">
      <c r="A83" s="84" t="s">
        <v>127</v>
      </c>
      <c r="B83" s="87" t="s">
        <v>66</v>
      </c>
      <c r="C83" s="82"/>
      <c r="D83" s="82"/>
      <c r="E83" s="83">
        <v>5</v>
      </c>
    </row>
    <row r="84" spans="1:15" s="135" customFormat="1">
      <c r="A84" s="84" t="s">
        <v>128</v>
      </c>
      <c r="B84" s="87" t="s">
        <v>66</v>
      </c>
      <c r="C84" s="82"/>
      <c r="D84" s="82"/>
      <c r="E84" s="83">
        <v>12</v>
      </c>
    </row>
    <row r="85" spans="1:15" s="135" customFormat="1">
      <c r="A85" s="84" t="s">
        <v>129</v>
      </c>
      <c r="B85" s="87" t="s">
        <v>66</v>
      </c>
      <c r="C85" s="82"/>
      <c r="D85" s="82"/>
      <c r="E85" s="83">
        <v>12</v>
      </c>
    </row>
    <row r="86" spans="1:15" s="135" customFormat="1" ht="60.75" customHeight="1">
      <c r="A86" s="84" t="s">
        <v>174</v>
      </c>
      <c r="B86" s="87" t="s">
        <v>66</v>
      </c>
      <c r="C86" s="82"/>
      <c r="D86" s="82"/>
      <c r="E86" s="83">
        <v>24</v>
      </c>
    </row>
    <row r="87" spans="1:15" s="135" customFormat="1">
      <c r="A87" s="84" t="s">
        <v>130</v>
      </c>
      <c r="B87" s="87" t="s">
        <v>66</v>
      </c>
      <c r="C87" s="82"/>
      <c r="D87" s="82"/>
      <c r="E87" s="83">
        <v>5</v>
      </c>
      <c r="F87" s="195"/>
      <c r="G87" s="196"/>
      <c r="H87" s="196"/>
      <c r="I87" s="196"/>
      <c r="J87" s="196"/>
      <c r="K87" s="196"/>
      <c r="L87" s="196"/>
      <c r="M87" s="196"/>
      <c r="N87" s="196"/>
      <c r="O87" s="196"/>
    </row>
    <row r="88" spans="1:15" s="135" customFormat="1" ht="48" thickBot="1">
      <c r="A88" s="118" t="s">
        <v>175</v>
      </c>
      <c r="B88" s="126" t="s">
        <v>66</v>
      </c>
      <c r="C88" s="127" t="s">
        <v>131</v>
      </c>
      <c r="D88" s="128">
        <f>D9</f>
        <v>2</v>
      </c>
      <c r="E88" s="86">
        <f>IF(B88="y",D88*1.5*6,0)</f>
        <v>18</v>
      </c>
      <c r="F88" s="142"/>
      <c r="G88" s="143"/>
      <c r="H88" s="143"/>
      <c r="I88" s="143"/>
      <c r="J88" s="143"/>
      <c r="K88" s="143"/>
      <c r="L88" s="143"/>
      <c r="M88" s="143"/>
      <c r="N88" s="143"/>
      <c r="O88" s="143"/>
    </row>
    <row r="89" spans="1:15" s="135" customFormat="1" ht="16.5" thickBot="1">
      <c r="A89" s="129"/>
      <c r="B89" s="130"/>
      <c r="C89" s="130"/>
      <c r="D89" s="131" t="s">
        <v>132</v>
      </c>
      <c r="E89" s="132">
        <f>SUMIF(B81:B88,"y",E81:E88)</f>
        <v>121</v>
      </c>
    </row>
  </sheetData>
  <mergeCells count="16">
    <mergeCell ref="F65:O65"/>
    <mergeCell ref="A70:D70"/>
    <mergeCell ref="F75:N75"/>
    <mergeCell ref="F87:O87"/>
    <mergeCell ref="A33:D33"/>
    <mergeCell ref="F39:O39"/>
    <mergeCell ref="A50:D50"/>
    <mergeCell ref="F53:O53"/>
    <mergeCell ref="F61:O61"/>
    <mergeCell ref="A63:D63"/>
    <mergeCell ref="A21:D21"/>
    <mergeCell ref="A1:E1"/>
    <mergeCell ref="A2:E2"/>
    <mergeCell ref="A3:D3"/>
    <mergeCell ref="A4:D4"/>
    <mergeCell ref="A5:D5"/>
  </mergeCells>
  <conditionalFormatting sqref="B22:B32 B6:B20 B34:B1048576">
    <cfRule type="cellIs" dxfId="29" priority="15" operator="equal">
      <formula>"n"</formula>
    </cfRule>
    <cfRule type="cellIs" dxfId="28" priority="16" operator="equal">
      <formula>"y"</formula>
    </cfRule>
  </conditionalFormatting>
  <conditionalFormatting sqref="B88:B89">
    <cfRule type="cellIs" dxfId="27" priority="13" operator="equal">
      <formula>"n"</formula>
    </cfRule>
    <cfRule type="cellIs" dxfId="26" priority="14" operator="equal">
      <formula>"y"</formula>
    </cfRule>
  </conditionalFormatting>
  <conditionalFormatting sqref="B88">
    <cfRule type="cellIs" dxfId="25" priority="11" operator="equal">
      <formula>"n"</formula>
    </cfRule>
    <cfRule type="cellIs" dxfId="24" priority="12" operator="equal">
      <formula>"y"</formula>
    </cfRule>
  </conditionalFormatting>
  <conditionalFormatting sqref="B31:B32">
    <cfRule type="cellIs" dxfId="23" priority="9" operator="equal">
      <formula>"n"</formula>
    </cfRule>
    <cfRule type="cellIs" dxfId="22" priority="10" operator="equal">
      <formula>"y"</formula>
    </cfRule>
  </conditionalFormatting>
  <conditionalFormatting sqref="B53">
    <cfRule type="cellIs" dxfId="21" priority="7" operator="equal">
      <formula>"n"</formula>
    </cfRule>
    <cfRule type="cellIs" dxfId="20" priority="8" operator="equal">
      <formula>"y"</formula>
    </cfRule>
  </conditionalFormatting>
  <conditionalFormatting sqref="B81">
    <cfRule type="cellIs" dxfId="19" priority="5" operator="equal">
      <formula>"n"</formula>
    </cfRule>
    <cfRule type="cellIs" dxfId="18" priority="6" operator="equal">
      <formula>"y"</formula>
    </cfRule>
  </conditionalFormatting>
  <conditionalFormatting sqref="B81">
    <cfRule type="cellIs" dxfId="17" priority="3" operator="equal">
      <formula>"n"</formula>
    </cfRule>
    <cfRule type="cellIs" dxfId="16" priority="4" operator="equal">
      <formula>"y"</formula>
    </cfRule>
  </conditionalFormatting>
  <conditionalFormatting sqref="B81">
    <cfRule type="cellIs" dxfId="15" priority="1" operator="equal">
      <formula>"n"</formula>
    </cfRule>
    <cfRule type="cellIs" dxfId="14" priority="2" operator="equal">
      <formula>"y"</formula>
    </cfRule>
  </conditionalFormatting>
  <dataValidations count="30">
    <dataValidation allowBlank="1" showInputMessage="1" showErrorMessage="1" promptTitle="Value automatically calculated" prompt="The formula should not be changed unless you do not agree with the method of calculation, i.e. values in the description of the activity. Calculation made for 1 operation; if the number of operations should be higher, the formula should be modified" sqref="E81"/>
    <dataValidation type="textLength" showInputMessage="1" showErrorMessage="1" errorTitle="Enter a number 0-1000" error="Only numbers between 0 and 1.000 are allowed (whole, or decimal)" sqref="D81">
      <formula1>1</formula1>
      <formula2>4</formula2>
    </dataValidation>
    <dataValidation allowBlank="1" showInputMessage="1" showErrorMessage="1" promptTitle="Value automatically calculated" prompt="The number of days is calculated as the number of reports multiplied with 2 days estimated for each report. Total of 2 days for audit is added." sqref="E11"/>
    <dataValidation allowBlank="1" showInputMessage="1" showErrorMessage="1" promptTitle="Additional information" prompt="It is estimated that under a service contract notification letters can be expected a year each requiring 2 working days for preparation and processing. If it is estimated differently, the formula needs to be modified." sqref="A13"/>
    <dataValidation allowBlank="1" showInputMessage="1" showErrorMessage="1" prompt="This number is calculated in the sheet &quot;available working time per year&quot;and is transferred automatically here. This number should be different for diferrent countries in the WB according to legislation, public holidays, etc." sqref="E4"/>
    <dataValidation allowBlank="1" showInputMessage="1" showErrorMessage="1" promptTitle="Value automatically copied" prompt="Automatically copied from another cell" sqref="D11"/>
    <dataValidation allowBlank="1" showInputMessage="1" showErrorMessage="1" promptTitle="Value automatically calculated" prompt="The number of days is calculated as the number of reports multiplied with 7 days estimated for each report." sqref="E10"/>
    <dataValidation allowBlank="1" showInputMessage="1" showErrorMessage="1" promptTitle="Enter the number of reports" prompt="Enter here the number of reports foreseen for a given year._x000a__x000a_Most likely, it will be 3 for year 1 of implementation of service contract (because of the inception report) and 2 for other years." sqref="D10"/>
    <dataValidation allowBlank="1" showInputMessage="1" showErrorMessage="1" promptTitle="Value automatically calculated" prompt="Do not change manually" sqref="E8"/>
    <dataValidation allowBlank="1" showDropDown="1" showInputMessage="1" showErrorMessage="1" errorTitle="Please enter 1 or 2" promptTitle="Value automatically calculated" prompt="It is assumed that monthly reports will not be prepared in these months in which inception, interim, or final reports are prepared" sqref="D12"/>
    <dataValidation type="list" allowBlank="1" showDropDown="1" showInputMessage="1" showErrorMessage="1" errorTitle="Error" error="Only &quot;y&quot; and &quot;n&quot; are allowed values for this cell." promptTitle="The value should not be modified" prompt="Instead, values for 2.1 to 2.5 below should be modified if any of the sub-tasks are not applicable" sqref="B8">
      <formula1>"Y,y,N,n"</formula1>
    </dataValidation>
    <dataValidation type="whole" allowBlank="1" showDropDown="1" showInputMessage="1" showErrorMessage="1" errorTitle="Please enter 1 or 2" promptTitle="Enter 1 or 2" prompt="1 - assessors hired through a tender procedure_x000a_2 - engagement of assessors do not require a tender procedure_x000a__x000a_If you do not agree with number of working days per sub-task, formula needs to be changed" sqref="D36">
      <formula1>1</formula1>
      <formula2>2</formula2>
    </dataValidation>
    <dataValidation allowBlank="1" showInputMessage="1" showErrorMessage="1" promptTitle="Enter your estimation here" prompt="The number of working days estimated for this activity is entered directly into this cell." sqref="E37 E26:E27 E75:E78 E20 E35 E7 E48:E49 E59 E65:E67 E69 E72 E82:E87"/>
    <dataValidation type="list" allowBlank="1" showDropDown="1" showInputMessage="1" showErrorMessage="1" errorTitle="Error" error="Only &quot;y&quot; and &quot;n&quot; are allowed values for this cell." promptTitle="Enter &quot;n&quot; if not applicable" prompt="If this activity was not planned for the period covered, enter &quot;n&quot; in this field. The number of days related to it will automatically be ignored in the related calculations." sqref="B9:B20 B52:B62 B23:B32 B65:B69 B72:B78 B35:B40 B43:B49 B7 B81:B88">
      <formula1>"Y,y,N,n"</formula1>
    </dataValidation>
    <dataValidation allowBlank="1" showInputMessage="1" showErrorMessage="1" promptTitle="Value automatically calculated" prompt="The formula should not be changed unless you do not agree with the method of calculation, i.e. values in the description of the activity." sqref="E28:E32 E9 E36 E23:E25 E52:E58 E68 E73:E74 E60:E62 E39:E47 E12:E18 E88"/>
    <dataValidation allowBlank="1" showInputMessage="1" showErrorMessage="1" promptTitle="Value automactically calculated" prompt="The formula should not be changed unless you do not agree with the method of calculation, i.e. values in the description of the activity." sqref="E19"/>
    <dataValidation allowBlank="1" showInputMessage="1" showErrorMessage="1" promptTitle="The cell need not be modified" prompt="Its value does not affect any of the calculations" sqref="C7:D8 C88 C26:D27 C20:D20 C35:D35 C37:D38 C72:D72 C48:D49 C59:D59 C65:D67 C69:D69 C75:D78 C10:C11 C82:D87 C23:D24"/>
    <dataValidation type="whole" allowBlank="1" showDropDown="1" showInputMessage="1" showErrorMessage="1" sqref="D52">
      <formula1>1</formula1>
      <formula2>2</formula2>
    </dataValidation>
    <dataValidation type="decimal" showInputMessage="1" showErrorMessage="1" errorTitle="Enter a number 0-1000" error="Only numbers between 0 and 1.000 are allowed (whole, or decimal)" sqref="D73:D74 D28:D32 D9 D39 D53 D43 D25 D68 D15 D17 D13">
      <formula1>0</formula1>
      <formula2>1000</formula2>
    </dataValidation>
    <dataValidation type="whole" allowBlank="1" showDropDown="1" showInputMessage="1" showErrorMessage="1" errorTitle="Enter a number 0-1000" error="Only numbers between 0 and 1.000 are allowed (whole, or decimal)" sqref="D44">
      <formula1>1</formula1>
      <formula2>2</formula2>
    </dataValidation>
    <dataValidation type="whole" allowBlank="1" showDropDown="1" showInputMessage="1" showErrorMessage="1" errorTitle="Please enter 1 or 2" promptTitle="Enter 1 or 2" prompt="1 - restricted call to be evaluated_x000a_2 - open call to be evaluated_x000a__x000a_If you do not agree with number of hours per concept note, formula needs to be changed" sqref="D40">
      <formula1>1</formula1>
      <formula2>2</formula2>
    </dataValidation>
    <dataValidation type="list" allowBlank="1" showDropDown="1" showInputMessage="1" showErrorMessage="1" errorTitle="Error" error="Only &quot;y&quot; and &quot;n&quot; are allowed values for this cell." promptTitle="Value automatically changed" prompt="Value of this cell is automatically changed depending on your selection under point 5.b (restricted or open call)" sqref="B41:B42">
      <formula1>"Y,y,N,n"</formula1>
    </dataValidation>
    <dataValidation allowBlank="1" showInputMessage="1" showErrorMessage="1" promptTitle="Enter your estimation here" prompt="The number of working days estimated for this activity is entered directly into this cell._x000a__x000a_Please note that you may consider reducing this number if the call for proposals is an open one" sqref="E38"/>
    <dataValidation type="decimal" showInputMessage="1" showErrorMessage="1" errorTitle="Enter a number 0-1000" error="Only numbers between 0 and 1.000 are allowed (whole, or decimal)" promptTitle="Estimated number of projects" prompt="An estimation of average number of projects under implementation at any given moment. It often will not be constant throughout the year, but the best possible estimation should be provided here, especially since this value is used throughout the sheet." sqref="D14">
      <formula1>0</formula1>
      <formula2>1000</formula2>
    </dataValidation>
    <dataValidation type="decimal" showInputMessage="1" showErrorMessage="1" errorTitle="Enter a number 0-1000" error="Only numbers between 0 and 1.000 are allowed (whole, or decimal)" promptTitle="Value automatically copied" prompt="Copied from another cell" sqref="D16 D18:D19">
      <formula1>0</formula1>
      <formula2>1000</formula2>
    </dataValidation>
    <dataValidation type="whole" allowBlank="1" showDropDown="1" showInputMessage="1" showErrorMessage="1" errorTitle="Please enter 1 or 2" promptTitle="Value automatically copied" prompt="Copied from another cell" sqref="D41:D42">
      <formula1>1</formula1>
      <formula2>1000</formula2>
    </dataValidation>
    <dataValidation type="decimal" showInputMessage="1" showErrorMessage="1" errorTitle="Enter a number 0-1000" error="Only numbers between 0 and 1.000 are allowed (whole, or decimal)" promptTitle="Value automatically copied" prompt="Value copied from another cell" sqref="D47">
      <formula1>0</formula1>
      <formula2>1000</formula2>
    </dataValidation>
    <dataValidation type="decimal" showInputMessage="1" showErrorMessage="1" errorTitle="Enter a number 0-1000" error="Only numbers between 0 and 1.000 are allowed (whole, or decimal)" promptTitle="Value automatically copied" prompt="Value coppied from another cell" sqref="D54:D58 D60:D62 D88">
      <formula1>0</formula1>
      <formula2>1000</formula2>
    </dataValidation>
    <dataValidation allowBlank="1" showInputMessage="1" showErrorMessage="1" promptTitle="Aditional clarification:" prompt="Even in the case of an open call, concept note evaluation is still being performed, according to the provisions of Article 6.4.1.2 of PRAG 2014. Related calculations of efforts take this into account." sqref="C40"/>
    <dataValidation type="decimal" showInputMessage="1" showErrorMessage="1" errorTitle="Enter a number 0-1000" error="Only numbers between 0 and 1.000 are allowed (whole, or decimal)" promptTitle="Value automatically calculated" prompt="Value calculated as double the estimated number of projects recommended" sqref="D45:D46">
      <formula1>0</formula1>
      <formula2>1000</formula2>
    </dataValidation>
  </dataValidations>
  <printOptions horizontalCentered="1"/>
  <pageMargins left="0.74803149606299202" right="0.74803149606299202" top="1.14173228346457" bottom="0.55118110236220497" header="0.511811023622047" footer="0.43307086614173201"/>
  <pageSetup paperSize="9" scale="69" fitToHeight="3" orientation="portrait" r:id="rId1"/>
  <headerFooter alignWithMargins="0">
    <oddHeader>&amp;LAnnex 04&amp;CJTS manual of procedures under IPA II CBC programmes</oddHeader>
    <oddFooter>&amp;C&amp;A&amp;RPage &amp;P of &amp;N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07"/>
  <sheetViews>
    <sheetView tabSelected="1" view="pageBreakPreview" zoomScale="130" zoomScaleNormal="100" zoomScaleSheetLayoutView="130" workbookViewId="0">
      <selection activeCell="E12" sqref="E12"/>
    </sheetView>
  </sheetViews>
  <sheetFormatPr defaultColWidth="9" defaultRowHeight="11.25"/>
  <cols>
    <col min="1" max="1" width="53.125" style="7" customWidth="1"/>
    <col min="2" max="3" width="7.625" style="7" customWidth="1"/>
    <col min="4" max="4" width="7.625" style="7" bestFit="1" customWidth="1"/>
    <col min="5" max="16384" width="9" style="7"/>
  </cols>
  <sheetData>
    <row r="1" spans="1:4">
      <c r="B1" s="8"/>
      <c r="C1" s="8"/>
      <c r="D1" s="8"/>
    </row>
    <row r="2" spans="1:4" s="11" customFormat="1">
      <c r="A2" s="9" t="s">
        <v>12</v>
      </c>
      <c r="B2" s="10"/>
      <c r="C2" s="10"/>
      <c r="D2" s="10"/>
    </row>
    <row r="3" spans="1:4">
      <c r="A3" s="12" t="s">
        <v>14</v>
      </c>
      <c r="B3" s="12">
        <v>2016</v>
      </c>
      <c r="C3" s="12">
        <v>2017</v>
      </c>
      <c r="D3" s="12">
        <v>2018</v>
      </c>
    </row>
    <row r="4" spans="1:4">
      <c r="A4" s="13" t="s">
        <v>181</v>
      </c>
      <c r="B4" s="13">
        <f>B26</f>
        <v>0</v>
      </c>
      <c r="C4" s="13">
        <f t="shared" ref="C4:D4" si="0">C26</f>
        <v>0</v>
      </c>
      <c r="D4" s="13">
        <f t="shared" si="0"/>
        <v>0</v>
      </c>
    </row>
    <row r="5" spans="1:4">
      <c r="A5" s="13" t="s">
        <v>182</v>
      </c>
      <c r="B5" s="13">
        <f>SUM(B40)</f>
        <v>0</v>
      </c>
      <c r="C5" s="13">
        <f t="shared" ref="C5:D5" si="1">SUM(C40)</f>
        <v>0</v>
      </c>
      <c r="D5" s="13">
        <f t="shared" si="1"/>
        <v>0</v>
      </c>
    </row>
    <row r="6" spans="1:4">
      <c r="A6" s="13" t="s">
        <v>189</v>
      </c>
      <c r="B6" s="13">
        <f>SUM(B59)</f>
        <v>0</v>
      </c>
      <c r="C6" s="13">
        <f t="shared" ref="C6:D6" si="2">SUM(C59)</f>
        <v>0</v>
      </c>
      <c r="D6" s="13">
        <f t="shared" si="2"/>
        <v>0</v>
      </c>
    </row>
    <row r="7" spans="1:4">
      <c r="A7" s="13" t="s">
        <v>190</v>
      </c>
      <c r="B7" s="13">
        <f>SUM(B74)</f>
        <v>3</v>
      </c>
      <c r="C7" s="13">
        <f t="shared" ref="C7:D7" si="3">SUM(C74)</f>
        <v>92</v>
      </c>
      <c r="D7" s="13">
        <f t="shared" si="3"/>
        <v>92</v>
      </c>
    </row>
    <row r="8" spans="1:4">
      <c r="A8" s="13" t="s">
        <v>191</v>
      </c>
      <c r="B8" s="13">
        <f>B83</f>
        <v>3</v>
      </c>
      <c r="C8" s="13">
        <f t="shared" ref="C8:D8" si="4">C83</f>
        <v>48</v>
      </c>
      <c r="D8" s="13">
        <f t="shared" si="4"/>
        <v>48</v>
      </c>
    </row>
    <row r="9" spans="1:4">
      <c r="A9" s="13" t="s">
        <v>192</v>
      </c>
      <c r="B9" s="13">
        <f>B94</f>
        <v>3</v>
      </c>
      <c r="C9" s="13">
        <f t="shared" ref="C9:D9" si="5">C94</f>
        <v>73</v>
      </c>
      <c r="D9" s="13">
        <f t="shared" si="5"/>
        <v>73</v>
      </c>
    </row>
    <row r="10" spans="1:4">
      <c r="A10" s="13" t="s">
        <v>193</v>
      </c>
      <c r="B10" s="13">
        <f>SUM(B107)</f>
        <v>71</v>
      </c>
      <c r="C10" s="13">
        <f t="shared" ref="C10:D10" si="6">SUM(C107)</f>
        <v>108</v>
      </c>
      <c r="D10" s="13">
        <f t="shared" si="6"/>
        <v>108</v>
      </c>
    </row>
    <row r="11" spans="1:4" s="11" customFormat="1">
      <c r="A11" s="12" t="s">
        <v>13</v>
      </c>
      <c r="B11" s="9">
        <f>SUM(B4:B7)</f>
        <v>3</v>
      </c>
      <c r="C11" s="9">
        <f>SUM(C4:C10)</f>
        <v>321</v>
      </c>
      <c r="D11" s="9">
        <f>SUM(D4:D10)</f>
        <v>321</v>
      </c>
    </row>
    <row r="12" spans="1:4" s="16" customFormat="1">
      <c r="A12" s="14" t="s">
        <v>268</v>
      </c>
      <c r="B12" s="15">
        <f>SUM(B11)/215</f>
        <v>1.3953488372093023E-2</v>
      </c>
      <c r="C12" s="15">
        <f>SUM(C11)/215</f>
        <v>1.4930232558139536</v>
      </c>
      <c r="D12" s="15">
        <f>SUM(D11)/215</f>
        <v>1.4930232558139536</v>
      </c>
    </row>
    <row r="14" spans="1:4" s="11" customFormat="1">
      <c r="A14" s="11" t="s">
        <v>181</v>
      </c>
      <c r="B14" s="8"/>
      <c r="C14" s="8"/>
      <c r="D14" s="8"/>
    </row>
    <row r="15" spans="1:4">
      <c r="A15" s="12" t="s">
        <v>14</v>
      </c>
      <c r="B15" s="12">
        <v>2016</v>
      </c>
      <c r="C15" s="12">
        <v>2017</v>
      </c>
      <c r="D15" s="12">
        <v>2018</v>
      </c>
    </row>
    <row r="16" spans="1:4">
      <c r="A16" s="17" t="s">
        <v>65</v>
      </c>
      <c r="B16" s="17"/>
      <c r="C16" s="17"/>
      <c r="D16" s="17"/>
    </row>
    <row r="17" spans="1:4">
      <c r="A17" s="17" t="s">
        <v>67</v>
      </c>
      <c r="B17" s="17"/>
      <c r="C17" s="17"/>
      <c r="D17" s="17"/>
    </row>
    <row r="18" spans="1:4">
      <c r="A18" s="17" t="s">
        <v>183</v>
      </c>
      <c r="B18" s="17"/>
      <c r="C18" s="17"/>
      <c r="D18" s="17"/>
    </row>
    <row r="19" spans="1:4">
      <c r="A19" s="17" t="s">
        <v>184</v>
      </c>
      <c r="B19" s="17"/>
      <c r="C19" s="17"/>
      <c r="D19" s="17"/>
    </row>
    <row r="20" spans="1:4">
      <c r="A20" s="17" t="s">
        <v>185</v>
      </c>
      <c r="B20" s="17"/>
      <c r="C20" s="17"/>
      <c r="D20" s="17"/>
    </row>
    <row r="21" spans="1:4">
      <c r="A21" s="17" t="s">
        <v>186</v>
      </c>
      <c r="B21" s="17"/>
      <c r="C21" s="17"/>
      <c r="D21" s="17"/>
    </row>
    <row r="22" spans="1:4">
      <c r="A22" s="17" t="s">
        <v>187</v>
      </c>
      <c r="B22" s="17"/>
      <c r="C22" s="17"/>
      <c r="D22" s="17"/>
    </row>
    <row r="23" spans="1:4">
      <c r="A23" s="17" t="s">
        <v>199</v>
      </c>
      <c r="B23" s="17"/>
      <c r="C23" s="17"/>
      <c r="D23" s="17"/>
    </row>
    <row r="24" spans="1:4">
      <c r="A24" s="17" t="s">
        <v>200</v>
      </c>
      <c r="B24" s="17"/>
      <c r="C24" s="17"/>
      <c r="D24" s="17"/>
    </row>
    <row r="25" spans="1:4" ht="22.5">
      <c r="A25" s="148" t="s">
        <v>201</v>
      </c>
      <c r="B25" s="17"/>
      <c r="C25" s="17"/>
      <c r="D25" s="17"/>
    </row>
    <row r="26" spans="1:4" s="11" customFormat="1">
      <c r="A26" s="18" t="s">
        <v>13</v>
      </c>
      <c r="B26" s="18">
        <f>SUM(B16:B25)</f>
        <v>0</v>
      </c>
      <c r="C26" s="18">
        <f>SUM(C16:C25)</f>
        <v>0</v>
      </c>
      <c r="D26" s="18">
        <f>SUM(D16:D25)</f>
        <v>0</v>
      </c>
    </row>
    <row r="27" spans="1:4">
      <c r="A27" s="19"/>
      <c r="B27" s="19"/>
      <c r="C27" s="19"/>
      <c r="D27" s="19"/>
    </row>
    <row r="28" spans="1:4" s="11" customFormat="1">
      <c r="A28" s="18" t="s">
        <v>182</v>
      </c>
      <c r="B28" s="8"/>
      <c r="C28" s="8"/>
      <c r="D28" s="8"/>
    </row>
    <row r="29" spans="1:4">
      <c r="A29" s="12" t="s">
        <v>14</v>
      </c>
      <c r="B29" s="12">
        <v>2016</v>
      </c>
      <c r="C29" s="12">
        <v>2017</v>
      </c>
      <c r="D29" s="12">
        <v>2018</v>
      </c>
    </row>
    <row r="30" spans="1:4">
      <c r="A30" s="20" t="s">
        <v>80</v>
      </c>
      <c r="B30" s="17"/>
      <c r="C30" s="17"/>
      <c r="D30" s="17"/>
    </row>
    <row r="31" spans="1:4">
      <c r="A31" s="20" t="s">
        <v>81</v>
      </c>
      <c r="B31" s="17"/>
      <c r="C31" s="17"/>
      <c r="D31" s="17"/>
    </row>
    <row r="32" spans="1:4">
      <c r="A32" s="20" t="s">
        <v>194</v>
      </c>
      <c r="B32" s="17"/>
      <c r="C32" s="17"/>
      <c r="D32" s="17"/>
    </row>
    <row r="33" spans="1:4">
      <c r="A33" s="20" t="s">
        <v>195</v>
      </c>
      <c r="B33" s="17"/>
      <c r="C33" s="17"/>
      <c r="D33" s="17"/>
    </row>
    <row r="34" spans="1:4">
      <c r="A34" s="20" t="s">
        <v>196</v>
      </c>
      <c r="B34" s="17"/>
      <c r="C34" s="17"/>
      <c r="D34" s="17"/>
    </row>
    <row r="35" spans="1:4">
      <c r="A35" s="20" t="s">
        <v>197</v>
      </c>
      <c r="B35" s="17"/>
      <c r="C35" s="17"/>
      <c r="D35" s="17"/>
    </row>
    <row r="36" spans="1:4">
      <c r="A36" s="20" t="s">
        <v>198</v>
      </c>
      <c r="B36" s="17"/>
      <c r="C36" s="17"/>
      <c r="D36" s="17"/>
    </row>
    <row r="37" spans="1:4">
      <c r="A37" s="20" t="s">
        <v>188</v>
      </c>
      <c r="B37" s="17"/>
      <c r="C37" s="17"/>
      <c r="D37" s="17"/>
    </row>
    <row r="38" spans="1:4">
      <c r="A38" s="20" t="s">
        <v>232</v>
      </c>
      <c r="B38" s="17"/>
      <c r="C38" s="17"/>
      <c r="D38" s="17"/>
    </row>
    <row r="39" spans="1:4">
      <c r="A39" s="20" t="s">
        <v>233</v>
      </c>
      <c r="B39" s="17"/>
      <c r="C39" s="17"/>
      <c r="D39" s="17"/>
    </row>
    <row r="40" spans="1:4" s="11" customFormat="1">
      <c r="A40" s="18" t="s">
        <v>13</v>
      </c>
      <c r="B40" s="18">
        <f>SUM(B30:B39)</f>
        <v>0</v>
      </c>
      <c r="C40" s="18">
        <f t="shared" ref="C40:D40" si="7">SUM(C30:C39)</f>
        <v>0</v>
      </c>
      <c r="D40" s="18">
        <f t="shared" si="7"/>
        <v>0</v>
      </c>
    </row>
    <row r="41" spans="1:4">
      <c r="A41" s="19"/>
      <c r="B41" s="19"/>
      <c r="C41" s="19"/>
      <c r="D41" s="19"/>
    </row>
    <row r="42" spans="1:4" s="11" customFormat="1">
      <c r="A42" s="18" t="s">
        <v>189</v>
      </c>
      <c r="B42" s="8"/>
      <c r="C42" s="8"/>
      <c r="D42" s="8"/>
    </row>
    <row r="43" spans="1:4">
      <c r="A43" s="12" t="s">
        <v>14</v>
      </c>
      <c r="B43" s="12">
        <v>2016</v>
      </c>
      <c r="C43" s="12">
        <v>2017</v>
      </c>
      <c r="D43" s="12">
        <v>2018</v>
      </c>
    </row>
    <row r="44" spans="1:4" ht="22.5">
      <c r="A44" s="154" t="s">
        <v>92</v>
      </c>
      <c r="B44" s="155">
        <v>0</v>
      </c>
      <c r="C44" s="155">
        <v>0</v>
      </c>
      <c r="D44" s="155">
        <v>0</v>
      </c>
    </row>
    <row r="45" spans="1:4">
      <c r="A45" s="156" t="s">
        <v>202</v>
      </c>
      <c r="B45" s="155">
        <v>0</v>
      </c>
      <c r="C45" s="155">
        <v>0</v>
      </c>
      <c r="D45" s="155">
        <v>0</v>
      </c>
    </row>
    <row r="46" spans="1:4">
      <c r="A46" s="156" t="s">
        <v>94</v>
      </c>
      <c r="B46" s="155">
        <v>0</v>
      </c>
      <c r="C46" s="155">
        <v>0</v>
      </c>
      <c r="D46" s="155">
        <v>0</v>
      </c>
    </row>
    <row r="47" spans="1:4">
      <c r="A47" s="156" t="s">
        <v>95</v>
      </c>
      <c r="B47" s="155">
        <v>0</v>
      </c>
      <c r="C47" s="155">
        <v>0</v>
      </c>
      <c r="D47" s="155">
        <v>0</v>
      </c>
    </row>
    <row r="48" spans="1:4">
      <c r="A48" s="156" t="s">
        <v>203</v>
      </c>
      <c r="B48" s="155">
        <v>0</v>
      </c>
      <c r="C48" s="155">
        <v>0</v>
      </c>
      <c r="D48" s="155">
        <v>0</v>
      </c>
    </row>
    <row r="49" spans="1:4">
      <c r="A49" s="156" t="s">
        <v>204</v>
      </c>
      <c r="B49" s="155">
        <v>0</v>
      </c>
      <c r="C49" s="155">
        <v>0</v>
      </c>
      <c r="D49" s="155">
        <v>0</v>
      </c>
    </row>
    <row r="50" spans="1:4">
      <c r="A50" s="156" t="s">
        <v>205</v>
      </c>
      <c r="B50" s="155">
        <v>0</v>
      </c>
      <c r="C50" s="155">
        <v>0</v>
      </c>
      <c r="D50" s="155">
        <v>0</v>
      </c>
    </row>
    <row r="51" spans="1:4">
      <c r="A51" s="156" t="s">
        <v>206</v>
      </c>
      <c r="B51" s="155">
        <v>0</v>
      </c>
      <c r="C51" s="155">
        <v>0</v>
      </c>
      <c r="D51" s="155">
        <v>0</v>
      </c>
    </row>
    <row r="52" spans="1:4">
      <c r="A52" s="156" t="s">
        <v>207</v>
      </c>
      <c r="B52" s="155">
        <v>0</v>
      </c>
      <c r="C52" s="155">
        <v>0</v>
      </c>
      <c r="D52" s="155">
        <v>0</v>
      </c>
    </row>
    <row r="53" spans="1:4" ht="22.5">
      <c r="A53" s="154" t="s">
        <v>208</v>
      </c>
      <c r="B53" s="155">
        <v>0</v>
      </c>
      <c r="C53" s="155">
        <v>0</v>
      </c>
      <c r="D53" s="155">
        <v>0</v>
      </c>
    </row>
    <row r="54" spans="1:4">
      <c r="A54" s="156" t="s">
        <v>209</v>
      </c>
      <c r="B54" s="155">
        <v>0</v>
      </c>
      <c r="C54" s="155">
        <v>0</v>
      </c>
      <c r="D54" s="155">
        <v>0</v>
      </c>
    </row>
    <row r="55" spans="1:4">
      <c r="A55" s="156" t="s">
        <v>210</v>
      </c>
      <c r="B55" s="155">
        <v>0</v>
      </c>
      <c r="C55" s="155">
        <v>0</v>
      </c>
      <c r="D55" s="155">
        <v>0</v>
      </c>
    </row>
    <row r="56" spans="1:4">
      <c r="A56" s="156" t="s">
        <v>211</v>
      </c>
      <c r="B56" s="155">
        <v>0</v>
      </c>
      <c r="C56" s="155">
        <v>0</v>
      </c>
      <c r="D56" s="155">
        <v>0</v>
      </c>
    </row>
    <row r="57" spans="1:4">
      <c r="A57" s="156" t="s">
        <v>101</v>
      </c>
      <c r="B57" s="155">
        <v>0</v>
      </c>
      <c r="C57" s="155">
        <v>0</v>
      </c>
      <c r="D57" s="155">
        <v>0</v>
      </c>
    </row>
    <row r="58" spans="1:4" ht="22.5">
      <c r="A58" s="153" t="s">
        <v>102</v>
      </c>
      <c r="B58" s="17">
        <v>0</v>
      </c>
      <c r="C58" s="17">
        <v>0</v>
      </c>
      <c r="D58" s="17">
        <v>0</v>
      </c>
    </row>
    <row r="59" spans="1:4" s="11" customFormat="1">
      <c r="A59" s="18" t="s">
        <v>13</v>
      </c>
      <c r="B59" s="18">
        <f>SUM(B44:B58)</f>
        <v>0</v>
      </c>
      <c r="C59" s="18">
        <f>SUM(C44:C58)</f>
        <v>0</v>
      </c>
      <c r="D59" s="18">
        <f>SUM(D44:D58)</f>
        <v>0</v>
      </c>
    </row>
    <row r="60" spans="1:4" s="11" customFormat="1">
      <c r="A60" s="18"/>
      <c r="B60" s="18"/>
      <c r="C60" s="18"/>
      <c r="D60" s="18"/>
    </row>
    <row r="61" spans="1:4" s="11" customFormat="1">
      <c r="A61" s="18" t="s">
        <v>190</v>
      </c>
      <c r="B61" s="8"/>
      <c r="C61" s="8"/>
      <c r="D61" s="8"/>
    </row>
    <row r="62" spans="1:4">
      <c r="A62" s="12" t="s">
        <v>14</v>
      </c>
      <c r="B62" s="12">
        <v>2016</v>
      </c>
      <c r="C62" s="12">
        <v>2017</v>
      </c>
      <c r="D62" s="12">
        <v>2018</v>
      </c>
    </row>
    <row r="63" spans="1:4">
      <c r="A63" s="20" t="s">
        <v>105</v>
      </c>
      <c r="B63" s="17">
        <v>0</v>
      </c>
      <c r="C63" s="17">
        <v>10</v>
      </c>
      <c r="D63" s="17">
        <v>10</v>
      </c>
    </row>
    <row r="64" spans="1:4">
      <c r="A64" s="20" t="s">
        <v>212</v>
      </c>
      <c r="B64" s="17">
        <v>0</v>
      </c>
      <c r="C64" s="17">
        <v>10</v>
      </c>
      <c r="D64" s="17">
        <v>10</v>
      </c>
    </row>
    <row r="65" spans="1:4">
      <c r="A65" s="20" t="s">
        <v>213</v>
      </c>
      <c r="B65" s="17">
        <v>3</v>
      </c>
      <c r="C65" s="17">
        <v>15</v>
      </c>
      <c r="D65" s="17">
        <v>15</v>
      </c>
    </row>
    <row r="66" spans="1:4">
      <c r="A66" s="20" t="s">
        <v>214</v>
      </c>
      <c r="B66" s="17">
        <v>0</v>
      </c>
      <c r="C66" s="17">
        <v>10</v>
      </c>
      <c r="D66" s="17">
        <v>10</v>
      </c>
    </row>
    <row r="67" spans="1:4">
      <c r="A67" s="20" t="s">
        <v>215</v>
      </c>
      <c r="B67" s="17">
        <v>0</v>
      </c>
      <c r="C67" s="17">
        <v>3</v>
      </c>
      <c r="D67" s="17">
        <v>3</v>
      </c>
    </row>
    <row r="68" spans="1:4">
      <c r="A68" s="20" t="s">
        <v>216</v>
      </c>
      <c r="B68" s="17"/>
      <c r="C68" s="17"/>
      <c r="D68" s="17"/>
    </row>
    <row r="69" spans="1:4">
      <c r="A69" s="20" t="s">
        <v>217</v>
      </c>
      <c r="B69" s="17">
        <v>0</v>
      </c>
      <c r="C69" s="17">
        <v>10</v>
      </c>
      <c r="D69" s="17">
        <v>10</v>
      </c>
    </row>
    <row r="70" spans="1:4">
      <c r="A70" s="20" t="s">
        <v>108</v>
      </c>
      <c r="B70" s="17">
        <v>0</v>
      </c>
      <c r="C70" s="17">
        <v>15</v>
      </c>
      <c r="D70" s="17">
        <v>15</v>
      </c>
    </row>
    <row r="71" spans="1:4">
      <c r="A71" s="20" t="s">
        <v>218</v>
      </c>
      <c r="B71" s="17">
        <v>0</v>
      </c>
      <c r="C71" s="17">
        <v>12</v>
      </c>
      <c r="D71" s="17">
        <v>12</v>
      </c>
    </row>
    <row r="72" spans="1:4">
      <c r="A72" s="20" t="s">
        <v>219</v>
      </c>
      <c r="B72" s="17">
        <v>0</v>
      </c>
      <c r="C72" s="17">
        <v>1</v>
      </c>
      <c r="D72" s="17">
        <v>1</v>
      </c>
    </row>
    <row r="73" spans="1:4">
      <c r="A73" s="20" t="s">
        <v>220</v>
      </c>
      <c r="B73" s="17">
        <v>0</v>
      </c>
      <c r="C73" s="17">
        <v>6</v>
      </c>
      <c r="D73" s="17">
        <v>6</v>
      </c>
    </row>
    <row r="74" spans="1:4" s="11" customFormat="1">
      <c r="A74" s="18" t="s">
        <v>13</v>
      </c>
      <c r="B74" s="18">
        <f>SUM(B63:B73)</f>
        <v>3</v>
      </c>
      <c r="C74" s="18">
        <f>SUM(C63:C73)</f>
        <v>92</v>
      </c>
      <c r="D74" s="18">
        <f>SUM(D63:D73)</f>
        <v>92</v>
      </c>
    </row>
    <row r="75" spans="1:4">
      <c r="A75" s="19"/>
      <c r="B75" s="19"/>
      <c r="C75" s="19"/>
      <c r="D75" s="19"/>
    </row>
    <row r="76" spans="1:4" s="11" customFormat="1">
      <c r="A76" s="18" t="s">
        <v>191</v>
      </c>
      <c r="B76" s="8"/>
      <c r="C76" s="8"/>
      <c r="D76" s="8"/>
    </row>
    <row r="77" spans="1:4">
      <c r="A77" s="12" t="s">
        <v>14</v>
      </c>
      <c r="B77" s="12">
        <v>2016</v>
      </c>
      <c r="C77" s="12">
        <v>2017</v>
      </c>
      <c r="D77" s="12">
        <v>2018</v>
      </c>
    </row>
    <row r="78" spans="1:4">
      <c r="A78" s="20" t="s">
        <v>221</v>
      </c>
      <c r="B78" s="17">
        <v>0</v>
      </c>
      <c r="C78" s="17">
        <v>10</v>
      </c>
      <c r="D78" s="17">
        <v>10</v>
      </c>
    </row>
    <row r="79" spans="1:4">
      <c r="A79" s="20" t="s">
        <v>111</v>
      </c>
      <c r="B79" s="17">
        <v>0</v>
      </c>
      <c r="C79" s="17">
        <v>10</v>
      </c>
      <c r="D79" s="17">
        <v>10</v>
      </c>
    </row>
    <row r="80" spans="1:4">
      <c r="A80" s="20" t="s">
        <v>112</v>
      </c>
      <c r="B80" s="17">
        <v>3</v>
      </c>
      <c r="C80" s="17">
        <v>15</v>
      </c>
      <c r="D80" s="17">
        <v>15</v>
      </c>
    </row>
    <row r="81" spans="1:4">
      <c r="A81" s="20" t="s">
        <v>222</v>
      </c>
      <c r="B81" s="17">
        <v>0</v>
      </c>
      <c r="C81" s="17">
        <v>10</v>
      </c>
      <c r="D81" s="17">
        <v>10</v>
      </c>
    </row>
    <row r="82" spans="1:4">
      <c r="A82" s="20" t="s">
        <v>114</v>
      </c>
      <c r="B82" s="17">
        <v>0</v>
      </c>
      <c r="C82" s="17">
        <v>3</v>
      </c>
      <c r="D82" s="17">
        <v>3</v>
      </c>
    </row>
    <row r="83" spans="1:4" s="11" customFormat="1">
      <c r="A83" s="18" t="s">
        <v>13</v>
      </c>
      <c r="B83" s="18">
        <f>SUM(B78:B82)</f>
        <v>3</v>
      </c>
      <c r="C83" s="18">
        <f>SUM(C78:C82)</f>
        <v>48</v>
      </c>
      <c r="D83" s="18">
        <f>SUM(D78:D82)</f>
        <v>48</v>
      </c>
    </row>
    <row r="84" spans="1:4" s="11" customFormat="1">
      <c r="A84" s="18"/>
      <c r="B84" s="18"/>
      <c r="C84" s="18"/>
      <c r="D84" s="18"/>
    </row>
    <row r="85" spans="1:4" s="11" customFormat="1">
      <c r="A85" s="18" t="s">
        <v>192</v>
      </c>
      <c r="B85" s="8"/>
      <c r="C85" s="8"/>
      <c r="D85" s="8"/>
    </row>
    <row r="86" spans="1:4">
      <c r="A86" s="12" t="s">
        <v>14</v>
      </c>
      <c r="B86" s="12">
        <v>2016</v>
      </c>
      <c r="C86" s="12">
        <v>2017</v>
      </c>
      <c r="D86" s="12">
        <v>2018</v>
      </c>
    </row>
    <row r="87" spans="1:4">
      <c r="A87" s="20" t="s">
        <v>117</v>
      </c>
      <c r="B87" s="17">
        <v>0</v>
      </c>
      <c r="C87" s="17">
        <v>10</v>
      </c>
      <c r="D87" s="17">
        <v>10</v>
      </c>
    </row>
    <row r="88" spans="1:4">
      <c r="A88" s="20" t="s">
        <v>223</v>
      </c>
      <c r="B88" s="17">
        <v>0</v>
      </c>
      <c r="C88" s="17">
        <v>10</v>
      </c>
      <c r="D88" s="17">
        <v>10</v>
      </c>
    </row>
    <row r="89" spans="1:4">
      <c r="A89" s="20" t="s">
        <v>224</v>
      </c>
      <c r="B89" s="17">
        <v>3</v>
      </c>
      <c r="C89" s="17">
        <v>15</v>
      </c>
      <c r="D89" s="17">
        <v>15</v>
      </c>
    </row>
    <row r="90" spans="1:4">
      <c r="A90" s="20" t="s">
        <v>225</v>
      </c>
      <c r="B90" s="17">
        <v>0</v>
      </c>
      <c r="C90" s="17">
        <v>10</v>
      </c>
      <c r="D90" s="17">
        <v>10</v>
      </c>
    </row>
    <row r="91" spans="1:4">
      <c r="A91" s="20" t="s">
        <v>226</v>
      </c>
      <c r="B91" s="17">
        <v>0</v>
      </c>
      <c r="C91" s="17">
        <v>3</v>
      </c>
      <c r="D91" s="17">
        <v>3</v>
      </c>
    </row>
    <row r="92" spans="1:4">
      <c r="A92" s="20" t="s">
        <v>227</v>
      </c>
      <c r="B92" s="17">
        <v>0</v>
      </c>
      <c r="C92" s="17">
        <v>10</v>
      </c>
      <c r="D92" s="17">
        <v>10</v>
      </c>
    </row>
    <row r="93" spans="1:4">
      <c r="A93" s="20" t="s">
        <v>228</v>
      </c>
      <c r="B93" s="17">
        <v>0</v>
      </c>
      <c r="C93" s="17">
        <v>15</v>
      </c>
      <c r="D93" s="17">
        <v>15</v>
      </c>
    </row>
    <row r="94" spans="1:4" s="11" customFormat="1">
      <c r="A94" s="18" t="s">
        <v>13</v>
      </c>
      <c r="B94" s="18">
        <f>SUM(B87:B93)</f>
        <v>3</v>
      </c>
      <c r="C94" s="18">
        <f>SUM(C87:C93)</f>
        <v>73</v>
      </c>
      <c r="D94" s="18">
        <f>SUM(D87:D93)</f>
        <v>73</v>
      </c>
    </row>
    <row r="95" spans="1:4">
      <c r="A95" s="19"/>
      <c r="B95" s="19"/>
      <c r="C95" s="19"/>
      <c r="D95" s="19"/>
    </row>
    <row r="96" spans="1:4" s="11" customFormat="1">
      <c r="A96" s="18" t="s">
        <v>193</v>
      </c>
      <c r="B96" s="8"/>
      <c r="C96" s="8"/>
      <c r="D96" s="8"/>
    </row>
    <row r="97" spans="1:4">
      <c r="A97" s="12" t="s">
        <v>14</v>
      </c>
      <c r="B97" s="12">
        <v>2016</v>
      </c>
      <c r="C97" s="12">
        <v>2017</v>
      </c>
      <c r="D97" s="12">
        <v>2018</v>
      </c>
    </row>
    <row r="98" spans="1:4" ht="22.5">
      <c r="A98" s="153" t="s">
        <v>229</v>
      </c>
      <c r="B98" s="17">
        <v>5</v>
      </c>
      <c r="C98" s="17">
        <v>20</v>
      </c>
      <c r="D98" s="17">
        <v>20</v>
      </c>
    </row>
    <row r="99" spans="1:4">
      <c r="A99" s="20" t="s">
        <v>126</v>
      </c>
      <c r="B99" s="17">
        <v>30</v>
      </c>
      <c r="C99" s="17">
        <v>40</v>
      </c>
      <c r="D99" s="17">
        <v>40</v>
      </c>
    </row>
    <row r="100" spans="1:4">
      <c r="A100" s="20" t="s">
        <v>127</v>
      </c>
      <c r="B100" s="17">
        <v>10</v>
      </c>
      <c r="C100" s="17">
        <v>10</v>
      </c>
      <c r="D100" s="17">
        <v>10</v>
      </c>
    </row>
    <row r="101" spans="1:4">
      <c r="A101" s="20" t="s">
        <v>128</v>
      </c>
      <c r="B101" s="17">
        <v>10</v>
      </c>
      <c r="C101" s="17">
        <v>20</v>
      </c>
      <c r="D101" s="17">
        <v>20</v>
      </c>
    </row>
    <row r="102" spans="1:4">
      <c r="A102" s="20" t="s">
        <v>129</v>
      </c>
      <c r="B102" s="17">
        <v>10</v>
      </c>
      <c r="C102" s="17">
        <v>10</v>
      </c>
      <c r="D102" s="17">
        <v>10</v>
      </c>
    </row>
    <row r="103" spans="1:4">
      <c r="A103" s="20" t="s">
        <v>230</v>
      </c>
      <c r="B103" s="17">
        <v>3</v>
      </c>
      <c r="C103" s="17">
        <v>3</v>
      </c>
      <c r="D103" s="17">
        <v>3</v>
      </c>
    </row>
    <row r="104" spans="1:4">
      <c r="A104" s="20" t="s">
        <v>130</v>
      </c>
      <c r="B104" s="17">
        <v>3</v>
      </c>
      <c r="C104" s="17">
        <v>3</v>
      </c>
      <c r="D104" s="17">
        <v>3</v>
      </c>
    </row>
    <row r="105" spans="1:4">
      <c r="A105" s="20" t="s">
        <v>234</v>
      </c>
      <c r="B105" s="17">
        <v>0</v>
      </c>
      <c r="C105" s="17">
        <v>0</v>
      </c>
      <c r="D105" s="17">
        <v>0</v>
      </c>
    </row>
    <row r="106" spans="1:4">
      <c r="A106" s="20" t="s">
        <v>235</v>
      </c>
      <c r="B106" s="17">
        <v>0</v>
      </c>
      <c r="C106" s="17">
        <v>2</v>
      </c>
      <c r="D106" s="17">
        <v>2</v>
      </c>
    </row>
    <row r="107" spans="1:4" s="11" customFormat="1">
      <c r="A107" s="18" t="s">
        <v>13</v>
      </c>
      <c r="B107" s="18">
        <f>SUM(B98:B106)</f>
        <v>71</v>
      </c>
      <c r="C107" s="18">
        <f>SUM(C98:C106)</f>
        <v>108</v>
      </c>
      <c r="D107" s="18">
        <f>SUM(D98:D106)</f>
        <v>108</v>
      </c>
    </row>
  </sheetData>
  <printOptions horizontalCentered="1"/>
  <pageMargins left="0.74803149606299202" right="0.74803149606299202" top="1.14173228346457" bottom="0.55118110236220497" header="0.511811023622047" footer="0.43307086614173201"/>
  <pageSetup paperSize="9" fitToHeight="2" orientation="portrait" verticalDpi="300" r:id="rId1"/>
  <headerFooter alignWithMargins="0">
    <oddHeader>&amp;LAnnex 04&amp;CJTS manual of procedures under IPA II CBC programmes</oddHeader>
    <oddFooter>&amp;C&amp;A&amp;RPage &amp;P of &amp;N</oddFooter>
  </headerFooter>
  <rowBreaks count="1" manualBreakCount="1">
    <brk id="84"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0"/>
  <sheetViews>
    <sheetView view="pageBreakPreview" zoomScale="60" zoomScaleNormal="100" workbookViewId="0">
      <selection activeCell="A16" sqref="A16"/>
    </sheetView>
  </sheetViews>
  <sheetFormatPr defaultColWidth="9" defaultRowHeight="15.75"/>
  <cols>
    <col min="1" max="1" width="69.75" style="133" customWidth="1"/>
    <col min="2" max="2" width="9.125" style="144" customWidth="1"/>
    <col min="3" max="3" width="14.75" style="135" customWidth="1"/>
    <col min="4" max="4" width="11.25" style="135" customWidth="1"/>
    <col min="5" max="5" width="10.875" style="135" customWidth="1"/>
    <col min="6" max="16384" width="9" style="133"/>
  </cols>
  <sheetData>
    <row r="1" spans="1:8" ht="42" customHeight="1" thickBot="1">
      <c r="A1" s="187" t="s">
        <v>176</v>
      </c>
      <c r="B1" s="188"/>
      <c r="C1" s="188"/>
      <c r="D1" s="188"/>
      <c r="E1" s="189"/>
    </row>
    <row r="2" spans="1:8" ht="18" thickBot="1">
      <c r="A2" s="190" t="s">
        <v>177</v>
      </c>
      <c r="B2" s="191"/>
      <c r="C2" s="191"/>
      <c r="D2" s="191"/>
      <c r="E2" s="192"/>
    </row>
    <row r="3" spans="1:8" ht="21.75" customHeight="1" thickBot="1">
      <c r="A3" s="185" t="s">
        <v>57</v>
      </c>
      <c r="B3" s="186"/>
      <c r="C3" s="186"/>
      <c r="D3" s="186"/>
      <c r="E3" s="73">
        <f>E21+E33+E50+E63+E70+E79+E90</f>
        <v>898.22500000000002</v>
      </c>
      <c r="F3" s="147"/>
    </row>
    <row r="4" spans="1:8" ht="21.75" customHeight="1" thickBot="1">
      <c r="A4" s="185" t="s">
        <v>58</v>
      </c>
      <c r="B4" s="186"/>
      <c r="C4" s="186"/>
      <c r="D4" s="186"/>
      <c r="E4" s="74">
        <v>215</v>
      </c>
      <c r="F4" s="147"/>
    </row>
    <row r="5" spans="1:8" ht="21.75" customHeight="1" thickBot="1">
      <c r="A5" s="204" t="s">
        <v>59</v>
      </c>
      <c r="B5" s="205"/>
      <c r="C5" s="205"/>
      <c r="D5" s="206"/>
      <c r="E5" s="145">
        <f>E3/E4</f>
        <v>4.1777906976744186</v>
      </c>
      <c r="F5" s="147"/>
    </row>
    <row r="6" spans="1:8" ht="30.75" thickBot="1">
      <c r="A6" s="76" t="s">
        <v>60</v>
      </c>
      <c r="B6" s="77" t="s">
        <v>61</v>
      </c>
      <c r="C6" s="78" t="s">
        <v>62</v>
      </c>
      <c r="D6" s="77" t="s">
        <v>63</v>
      </c>
      <c r="E6" s="79" t="s">
        <v>64</v>
      </c>
      <c r="H6" s="147"/>
    </row>
    <row r="7" spans="1:8" s="135" customFormat="1">
      <c r="A7" s="80" t="s">
        <v>65</v>
      </c>
      <c r="B7" s="81" t="s">
        <v>66</v>
      </c>
      <c r="C7" s="82"/>
      <c r="D7" s="82"/>
      <c r="E7" s="83">
        <v>3</v>
      </c>
    </row>
    <row r="8" spans="1:8" s="135" customFormat="1">
      <c r="A8" s="84" t="s">
        <v>67</v>
      </c>
      <c r="B8" s="85" t="s">
        <v>66</v>
      </c>
      <c r="C8" s="82"/>
      <c r="D8" s="82"/>
      <c r="E8" s="86">
        <v>66</v>
      </c>
    </row>
    <row r="9" spans="1:8" s="135" customFormat="1" ht="15" customHeight="1">
      <c r="A9" s="136" t="s">
        <v>133</v>
      </c>
      <c r="B9" s="87" t="s">
        <v>66</v>
      </c>
      <c r="C9" s="88" t="s">
        <v>68</v>
      </c>
      <c r="D9" s="137">
        <v>2</v>
      </c>
      <c r="E9" s="138">
        <f>IF(B9="y",12*2*D9/8,0)</f>
        <v>6</v>
      </c>
    </row>
    <row r="10" spans="1:8" s="135" customFormat="1" ht="32.25" customHeight="1">
      <c r="A10" s="136" t="s">
        <v>134</v>
      </c>
      <c r="B10" s="87" t="s">
        <v>66</v>
      </c>
      <c r="C10" s="89" t="s">
        <v>69</v>
      </c>
      <c r="D10" s="90">
        <v>3</v>
      </c>
      <c r="E10" s="139">
        <f>IF(B10="y",D10*7,0)</f>
        <v>21</v>
      </c>
    </row>
    <row r="11" spans="1:8" s="135" customFormat="1" ht="47.25">
      <c r="A11" s="136" t="s">
        <v>70</v>
      </c>
      <c r="B11" s="87" t="s">
        <v>66</v>
      </c>
      <c r="C11" s="91" t="s">
        <v>69</v>
      </c>
      <c r="D11" s="82">
        <f>D10</f>
        <v>3</v>
      </c>
      <c r="E11" s="139">
        <f>IF(B11="y",D11*2+2,0)</f>
        <v>8</v>
      </c>
    </row>
    <row r="12" spans="1:8" s="135" customFormat="1" ht="28.5" customHeight="1">
      <c r="A12" s="136" t="s">
        <v>71</v>
      </c>
      <c r="B12" s="87" t="s">
        <v>66</v>
      </c>
      <c r="C12" s="140" t="s">
        <v>72</v>
      </c>
      <c r="D12" s="141">
        <f>12-D10</f>
        <v>9</v>
      </c>
      <c r="E12" s="138">
        <f>IF(B12="y",D12*3,0)</f>
        <v>27</v>
      </c>
    </row>
    <row r="13" spans="1:8" s="135" customFormat="1" ht="44.25" customHeight="1">
      <c r="A13" s="92" t="s">
        <v>135</v>
      </c>
      <c r="B13" s="87" t="s">
        <v>66</v>
      </c>
      <c r="C13" s="93" t="s">
        <v>73</v>
      </c>
      <c r="D13" s="94">
        <v>16</v>
      </c>
      <c r="E13" s="95">
        <f>IF(B13="y",(D13/16)*12+4,0)</f>
        <v>16</v>
      </c>
    </row>
    <row r="14" spans="1:8" s="135" customFormat="1" ht="62.25" customHeight="1">
      <c r="A14" s="84" t="s">
        <v>136</v>
      </c>
      <c r="B14" s="87" t="s">
        <v>66</v>
      </c>
      <c r="C14" s="96" t="s">
        <v>74</v>
      </c>
      <c r="D14" s="94">
        <v>10</v>
      </c>
      <c r="E14" s="86">
        <f>IF(B14="y",6+3+D14*2+24,0)</f>
        <v>53</v>
      </c>
    </row>
    <row r="15" spans="1:8" s="135" customFormat="1" ht="34.5" customHeight="1">
      <c r="A15" s="84" t="s">
        <v>137</v>
      </c>
      <c r="B15" s="87" t="s">
        <v>66</v>
      </c>
      <c r="C15" s="97" t="s">
        <v>75</v>
      </c>
      <c r="D15" s="94">
        <v>2</v>
      </c>
      <c r="E15" s="86">
        <f>IF(B15="y",12*D15*D9*0.25/8,0)</f>
        <v>1.5</v>
      </c>
    </row>
    <row r="16" spans="1:8" s="135" customFormat="1" ht="31.5" customHeight="1">
      <c r="A16" s="84" t="s">
        <v>138</v>
      </c>
      <c r="B16" s="87" t="s">
        <v>66</v>
      </c>
      <c r="C16" s="97" t="s">
        <v>75</v>
      </c>
      <c r="D16" s="98">
        <f>D15</f>
        <v>2</v>
      </c>
      <c r="E16" s="86">
        <f>IF(B16="y",12*D16*D9*0.5/8,0)</f>
        <v>3</v>
      </c>
    </row>
    <row r="17" spans="1:5" s="135" customFormat="1" ht="31.5">
      <c r="A17" s="92" t="s">
        <v>139</v>
      </c>
      <c r="B17" s="87" t="s">
        <v>66</v>
      </c>
      <c r="C17" s="93" t="s">
        <v>76</v>
      </c>
      <c r="D17" s="94">
        <v>10</v>
      </c>
      <c r="E17" s="86">
        <f>IF(B17="y",D17*3,0)</f>
        <v>30</v>
      </c>
    </row>
    <row r="18" spans="1:5" s="135" customFormat="1" ht="31.5">
      <c r="A18" s="92" t="s">
        <v>140</v>
      </c>
      <c r="B18" s="87" t="s">
        <v>66</v>
      </c>
      <c r="C18" s="93" t="s">
        <v>76</v>
      </c>
      <c r="D18" s="99">
        <f>D17</f>
        <v>10</v>
      </c>
      <c r="E18" s="86">
        <f>IF(B18="y",D18*0.5,0)</f>
        <v>5</v>
      </c>
    </row>
    <row r="19" spans="1:5" s="135" customFormat="1">
      <c r="A19" s="92" t="s">
        <v>141</v>
      </c>
      <c r="B19" s="87" t="s">
        <v>66</v>
      </c>
      <c r="C19" s="93" t="s">
        <v>76</v>
      </c>
      <c r="D19" s="99">
        <f>D17</f>
        <v>10</v>
      </c>
      <c r="E19" s="86">
        <f>IF(B19="y",D19,0)</f>
        <v>10</v>
      </c>
    </row>
    <row r="20" spans="1:5" s="135" customFormat="1" ht="30.75" customHeight="1" thickBot="1">
      <c r="A20" s="100" t="s">
        <v>77</v>
      </c>
      <c r="B20" s="87" t="s">
        <v>66</v>
      </c>
      <c r="C20" s="82"/>
      <c r="D20" s="82"/>
      <c r="E20" s="83">
        <v>10</v>
      </c>
    </row>
    <row r="21" spans="1:5" s="135" customFormat="1" ht="16.5" thickBot="1">
      <c r="A21" s="185" t="s">
        <v>78</v>
      </c>
      <c r="B21" s="186"/>
      <c r="C21" s="186"/>
      <c r="D21" s="186"/>
      <c r="E21" s="73">
        <f>SUMIF(B7:B8,"y",E7:E8)+SUMIF(B13:B20,"y",E13:E20)</f>
        <v>197.5</v>
      </c>
    </row>
    <row r="22" spans="1:5" s="135" customFormat="1" ht="30.75" thickBot="1">
      <c r="A22" s="101" t="s">
        <v>79</v>
      </c>
      <c r="B22" s="77" t="s">
        <v>61</v>
      </c>
      <c r="C22" s="78" t="s">
        <v>62</v>
      </c>
      <c r="D22" s="77" t="s">
        <v>63</v>
      </c>
      <c r="E22" s="79" t="s">
        <v>64</v>
      </c>
    </row>
    <row r="23" spans="1:5" s="135" customFormat="1">
      <c r="A23" s="80" t="s">
        <v>80</v>
      </c>
      <c r="B23" s="87" t="s">
        <v>66</v>
      </c>
      <c r="C23" s="82"/>
      <c r="D23" s="82"/>
      <c r="E23" s="86">
        <f>IF(B23="y",0.5,0)</f>
        <v>0.5</v>
      </c>
    </row>
    <row r="24" spans="1:5" s="135" customFormat="1">
      <c r="A24" s="84" t="s">
        <v>81</v>
      </c>
      <c r="B24" s="87" t="s">
        <v>66</v>
      </c>
      <c r="C24" s="82"/>
      <c r="D24" s="82"/>
      <c r="E24" s="86">
        <f>IF(B24="y",0.5,0)</f>
        <v>0.5</v>
      </c>
    </row>
    <row r="25" spans="1:5" s="135" customFormat="1" ht="31.5">
      <c r="A25" s="84" t="s">
        <v>142</v>
      </c>
      <c r="B25" s="87" t="s">
        <v>66</v>
      </c>
      <c r="C25" s="102" t="s">
        <v>82</v>
      </c>
      <c r="D25" s="94">
        <v>2</v>
      </c>
      <c r="E25" s="86">
        <f>IF(B25="y",D25*5,0)</f>
        <v>10</v>
      </c>
    </row>
    <row r="26" spans="1:5" s="135" customFormat="1" ht="33" customHeight="1">
      <c r="A26" s="84" t="s">
        <v>143</v>
      </c>
      <c r="B26" s="87" t="s">
        <v>66</v>
      </c>
      <c r="C26" s="82"/>
      <c r="D26" s="82"/>
      <c r="E26" s="83">
        <v>10</v>
      </c>
    </row>
    <row r="27" spans="1:5" s="135" customFormat="1" ht="31.5">
      <c r="A27" s="84" t="s">
        <v>144</v>
      </c>
      <c r="B27" s="87" t="s">
        <v>66</v>
      </c>
      <c r="C27" s="82"/>
      <c r="D27" s="82"/>
      <c r="E27" s="83">
        <v>0.1</v>
      </c>
    </row>
    <row r="28" spans="1:5" s="135" customFormat="1" ht="46.5" customHeight="1">
      <c r="A28" s="103" t="s">
        <v>145</v>
      </c>
      <c r="B28" s="87" t="s">
        <v>66</v>
      </c>
      <c r="C28" s="102" t="s">
        <v>83</v>
      </c>
      <c r="D28" s="94">
        <v>2</v>
      </c>
      <c r="E28" s="86">
        <f>IF(B28="y",D28*2*D9+0.5+0,5)</f>
        <v>8.5</v>
      </c>
    </row>
    <row r="29" spans="1:5" s="135" customFormat="1" ht="42" customHeight="1">
      <c r="A29" s="84" t="s">
        <v>146</v>
      </c>
      <c r="B29" s="87" t="s">
        <v>66</v>
      </c>
      <c r="C29" s="102" t="s">
        <v>84</v>
      </c>
      <c r="D29" s="94">
        <v>2</v>
      </c>
      <c r="E29" s="86">
        <f>IF(B29="y",D29*3*D9+5+1,0)</f>
        <v>18</v>
      </c>
    </row>
    <row r="30" spans="1:5" s="135" customFormat="1" ht="31.5">
      <c r="A30" s="84" t="s">
        <v>147</v>
      </c>
      <c r="B30" s="87" t="s">
        <v>66</v>
      </c>
      <c r="C30" s="104" t="s">
        <v>85</v>
      </c>
      <c r="D30" s="94">
        <v>10</v>
      </c>
      <c r="E30" s="86">
        <f>IF(B30="y",D30*0.5/8,0)</f>
        <v>0.625</v>
      </c>
    </row>
    <row r="31" spans="1:5" s="135" customFormat="1" ht="30">
      <c r="A31" s="105" t="s">
        <v>86</v>
      </c>
      <c r="B31" s="106" t="s">
        <v>87</v>
      </c>
      <c r="C31" s="107" t="s">
        <v>88</v>
      </c>
      <c r="D31" s="108">
        <v>5</v>
      </c>
      <c r="E31" s="109">
        <f>IF(B31="y",D31*2*$E$9,0)</f>
        <v>0</v>
      </c>
    </row>
    <row r="32" spans="1:5" s="135" customFormat="1" ht="30.75" thickBot="1">
      <c r="A32" s="110" t="s">
        <v>89</v>
      </c>
      <c r="B32" s="111" t="s">
        <v>87</v>
      </c>
      <c r="C32" s="112" t="s">
        <v>88</v>
      </c>
      <c r="D32" s="113">
        <v>20</v>
      </c>
      <c r="E32" s="114">
        <f>IF(B32="y",D32*4/8,0)</f>
        <v>0</v>
      </c>
    </row>
    <row r="33" spans="1:15" s="135" customFormat="1" ht="16.5" thickBot="1">
      <c r="A33" s="197" t="s">
        <v>90</v>
      </c>
      <c r="B33" s="198"/>
      <c r="C33" s="198"/>
      <c r="D33" s="198"/>
      <c r="E33" s="115">
        <f>SUMIF(B23:B32,"y",E23:E32)</f>
        <v>48.225000000000001</v>
      </c>
    </row>
    <row r="34" spans="1:15" s="135" customFormat="1" ht="30.75" thickBot="1">
      <c r="A34" s="101" t="s">
        <v>91</v>
      </c>
      <c r="B34" s="77" t="s">
        <v>61</v>
      </c>
      <c r="C34" s="78" t="s">
        <v>62</v>
      </c>
      <c r="D34" s="77" t="s">
        <v>63</v>
      </c>
      <c r="E34" s="79" t="s">
        <v>64</v>
      </c>
    </row>
    <row r="35" spans="1:15" s="135" customFormat="1" ht="30">
      <c r="A35" s="80" t="s">
        <v>92</v>
      </c>
      <c r="B35" s="87" t="s">
        <v>87</v>
      </c>
      <c r="C35" s="82"/>
      <c r="D35" s="82"/>
      <c r="E35" s="83">
        <v>0.5</v>
      </c>
    </row>
    <row r="36" spans="1:15" s="135" customFormat="1" ht="30.75" customHeight="1">
      <c r="A36" s="84" t="s">
        <v>148</v>
      </c>
      <c r="B36" s="87" t="s">
        <v>87</v>
      </c>
      <c r="C36" s="102" t="s">
        <v>93</v>
      </c>
      <c r="D36" s="94">
        <v>1</v>
      </c>
      <c r="E36" s="86">
        <f>IF(B36="y",9/3^D36,0)</f>
        <v>0</v>
      </c>
    </row>
    <row r="37" spans="1:15" s="135" customFormat="1">
      <c r="A37" s="84" t="s">
        <v>94</v>
      </c>
      <c r="B37" s="87" t="s">
        <v>87</v>
      </c>
      <c r="C37" s="82"/>
      <c r="D37" s="82"/>
      <c r="E37" s="83">
        <v>0.5</v>
      </c>
    </row>
    <row r="38" spans="1:15" s="135" customFormat="1">
      <c r="A38" s="84" t="s">
        <v>95</v>
      </c>
      <c r="B38" s="87" t="s">
        <v>87</v>
      </c>
      <c r="C38" s="82"/>
      <c r="D38" s="82"/>
      <c r="E38" s="83">
        <v>5</v>
      </c>
    </row>
    <row r="39" spans="1:15" s="135" customFormat="1" ht="60.75" customHeight="1">
      <c r="A39" s="84" t="s">
        <v>149</v>
      </c>
      <c r="B39" s="87" t="s">
        <v>87</v>
      </c>
      <c r="C39" s="116" t="s">
        <v>96</v>
      </c>
      <c r="D39" s="94">
        <v>100</v>
      </c>
      <c r="E39" s="86">
        <f>IF(B39="y",D39*0.75*D40/8+1+3+(3+3)*3,0)</f>
        <v>0</v>
      </c>
      <c r="F39" s="201"/>
      <c r="G39" s="202"/>
      <c r="H39" s="202"/>
      <c r="I39" s="202"/>
      <c r="J39" s="202"/>
      <c r="K39" s="202"/>
      <c r="L39" s="202"/>
      <c r="M39" s="202"/>
      <c r="N39" s="202"/>
      <c r="O39" s="202"/>
    </row>
    <row r="40" spans="1:15" s="135" customFormat="1" ht="47.25">
      <c r="A40" s="84" t="s">
        <v>150</v>
      </c>
      <c r="B40" s="87" t="s">
        <v>87</v>
      </c>
      <c r="C40" s="91" t="s">
        <v>97</v>
      </c>
      <c r="D40" s="94">
        <v>1</v>
      </c>
      <c r="E40" s="86">
        <f>IF(B40="y",D39*0.5/8,0)</f>
        <v>0</v>
      </c>
    </row>
    <row r="41" spans="1:15" s="135" customFormat="1" ht="45">
      <c r="A41" s="84" t="s">
        <v>151</v>
      </c>
      <c r="B41" s="85" t="s">
        <v>87</v>
      </c>
      <c r="C41" s="102" t="s">
        <v>96</v>
      </c>
      <c r="D41" s="117">
        <f>D39</f>
        <v>100</v>
      </c>
      <c r="E41" s="86">
        <f>IF(B41="y",D41*0.5/8,0)</f>
        <v>0</v>
      </c>
    </row>
    <row r="42" spans="1:15" s="135" customFormat="1" ht="45">
      <c r="A42" s="84" t="s">
        <v>152</v>
      </c>
      <c r="B42" s="85" t="s">
        <v>87</v>
      </c>
      <c r="C42" s="102" t="s">
        <v>96</v>
      </c>
      <c r="D42" s="117">
        <f>D39</f>
        <v>100</v>
      </c>
      <c r="E42" s="86">
        <f>IF(B42="y",D42*0.2/8,0)</f>
        <v>0</v>
      </c>
    </row>
    <row r="43" spans="1:15" s="135" customFormat="1" ht="48.75" customHeight="1">
      <c r="A43" s="84" t="s">
        <v>153</v>
      </c>
      <c r="B43" s="87" t="s">
        <v>87</v>
      </c>
      <c r="C43" s="116" t="s">
        <v>98</v>
      </c>
      <c r="D43" s="94">
        <v>15</v>
      </c>
      <c r="E43" s="86">
        <f>IF(B43="y",IF(B40="y",D43*2*0.75/8+1+3+3+3,D39*0.75/8+1+3+3+3),0)</f>
        <v>0</v>
      </c>
    </row>
    <row r="44" spans="1:15" s="135" customFormat="1" ht="63" customHeight="1">
      <c r="A44" s="84" t="s">
        <v>154</v>
      </c>
      <c r="B44" s="87" t="s">
        <v>87</v>
      </c>
      <c r="C44" s="102" t="s">
        <v>99</v>
      </c>
      <c r="D44" s="94">
        <v>1</v>
      </c>
      <c r="E44" s="86">
        <f>IF(B44="y",IF(D44=1,D39*0.5/8,D43*2*0.5/8),0)</f>
        <v>0</v>
      </c>
    </row>
    <row r="45" spans="1:15" s="135" customFormat="1" ht="45.75" customHeight="1">
      <c r="A45" s="84" t="s">
        <v>155</v>
      </c>
      <c r="B45" s="87" t="s">
        <v>87</v>
      </c>
      <c r="C45" s="102" t="s">
        <v>100</v>
      </c>
      <c r="D45" s="99">
        <f>$D$43*2</f>
        <v>30</v>
      </c>
      <c r="E45" s="86">
        <f>IF(B45="y",IF(D40=2,D39*0.5/8, D45*0.5/8),0)</f>
        <v>0</v>
      </c>
    </row>
    <row r="46" spans="1:15" s="135" customFormat="1" ht="45.75" customHeight="1">
      <c r="A46" s="84" t="s">
        <v>156</v>
      </c>
      <c r="B46" s="87" t="s">
        <v>87</v>
      </c>
      <c r="C46" s="102" t="s">
        <v>100</v>
      </c>
      <c r="D46" s="99">
        <f>$D$43*2</f>
        <v>30</v>
      </c>
      <c r="E46" s="86">
        <f>IF(B46="y",IF(D40=2,D39*0.2/8,D46*0.2/8),0)</f>
        <v>0</v>
      </c>
    </row>
    <row r="47" spans="1:15" s="135" customFormat="1" ht="47.25" customHeight="1">
      <c r="A47" s="84" t="s">
        <v>157</v>
      </c>
      <c r="B47" s="87" t="s">
        <v>87</v>
      </c>
      <c r="C47" s="116" t="s">
        <v>98</v>
      </c>
      <c r="D47" s="99">
        <f>D43</f>
        <v>15</v>
      </c>
      <c r="E47" s="86">
        <f>IF(B47="y",D47*3,0)</f>
        <v>0</v>
      </c>
    </row>
    <row r="48" spans="1:15" s="135" customFormat="1">
      <c r="A48" s="84" t="s">
        <v>101</v>
      </c>
      <c r="B48" s="87" t="s">
        <v>87</v>
      </c>
      <c r="C48" s="82"/>
      <c r="D48" s="82"/>
      <c r="E48" s="83">
        <v>0.5</v>
      </c>
    </row>
    <row r="49" spans="1:15" s="135" customFormat="1" ht="30.75" thickBot="1">
      <c r="A49" s="118" t="s">
        <v>102</v>
      </c>
      <c r="B49" s="87" t="s">
        <v>66</v>
      </c>
      <c r="C49" s="82"/>
      <c r="D49" s="82"/>
      <c r="E49" s="83">
        <v>5</v>
      </c>
    </row>
    <row r="50" spans="1:15" s="135" customFormat="1" ht="16.5" thickBot="1">
      <c r="A50" s="197" t="s">
        <v>103</v>
      </c>
      <c r="B50" s="198"/>
      <c r="C50" s="198"/>
      <c r="D50" s="198"/>
      <c r="E50" s="115">
        <f>SUMIF(B35:B49,"y",E35:E49)</f>
        <v>5</v>
      </c>
    </row>
    <row r="51" spans="1:15" s="135" customFormat="1" ht="30.75" thickBot="1">
      <c r="A51" s="101" t="s">
        <v>104</v>
      </c>
      <c r="B51" s="77" t="s">
        <v>61</v>
      </c>
      <c r="C51" s="78" t="s">
        <v>62</v>
      </c>
      <c r="D51" s="77" t="s">
        <v>63</v>
      </c>
      <c r="E51" s="79" t="s">
        <v>64</v>
      </c>
    </row>
    <row r="52" spans="1:15" s="135" customFormat="1" ht="30">
      <c r="A52" s="80" t="s">
        <v>105</v>
      </c>
      <c r="B52" s="87" t="s">
        <v>66</v>
      </c>
      <c r="C52" s="119" t="s">
        <v>106</v>
      </c>
      <c r="D52" s="94">
        <v>2</v>
      </c>
      <c r="E52" s="120">
        <f>IF(B52="y",IF(D52=1,15,5),0)</f>
        <v>5</v>
      </c>
    </row>
    <row r="53" spans="1:15" s="135" customFormat="1" ht="48" customHeight="1">
      <c r="A53" s="84" t="s">
        <v>158</v>
      </c>
      <c r="B53" s="87" t="s">
        <v>87</v>
      </c>
      <c r="C53" s="102" t="s">
        <v>107</v>
      </c>
      <c r="D53" s="94">
        <v>1</v>
      </c>
      <c r="E53" s="86">
        <f>IF(B53="y",D53*3*D9+5+1,0)</f>
        <v>0</v>
      </c>
      <c r="F53" s="195"/>
      <c r="G53" s="203"/>
      <c r="H53" s="203"/>
      <c r="I53" s="203"/>
      <c r="J53" s="203"/>
      <c r="K53" s="203"/>
      <c r="L53" s="203"/>
      <c r="M53" s="203"/>
      <c r="N53" s="203"/>
      <c r="O53" s="203"/>
    </row>
    <row r="54" spans="1:15" s="135" customFormat="1" ht="33" customHeight="1">
      <c r="A54" s="84" t="s">
        <v>159</v>
      </c>
      <c r="B54" s="87" t="s">
        <v>66</v>
      </c>
      <c r="C54" s="102" t="s">
        <v>74</v>
      </c>
      <c r="D54" s="117">
        <f>$D$14</f>
        <v>10</v>
      </c>
      <c r="E54" s="86">
        <f>IF(B54="y",D54*2,0)</f>
        <v>20</v>
      </c>
    </row>
    <row r="55" spans="1:15" s="135" customFormat="1" ht="32.25" customHeight="1">
      <c r="A55" s="84" t="s">
        <v>160</v>
      </c>
      <c r="B55" s="87" t="s">
        <v>66</v>
      </c>
      <c r="C55" s="104" t="s">
        <v>74</v>
      </c>
      <c r="D55" s="117">
        <f>$D$14</f>
        <v>10</v>
      </c>
      <c r="E55" s="86">
        <f>IF(B55="y",D55*(2+3),0)</f>
        <v>50</v>
      </c>
    </row>
    <row r="56" spans="1:15" s="135" customFormat="1" ht="31.5" customHeight="1">
      <c r="A56" s="84" t="s">
        <v>161</v>
      </c>
      <c r="B56" s="87" t="s">
        <v>66</v>
      </c>
      <c r="C56" s="104" t="s">
        <v>74</v>
      </c>
      <c r="D56" s="117">
        <f>$D$14</f>
        <v>10</v>
      </c>
      <c r="E56" s="86">
        <f>IF(B56="y",D56*10*1,0)</f>
        <v>100</v>
      </c>
    </row>
    <row r="57" spans="1:15" s="135" customFormat="1" ht="32.25" customHeight="1">
      <c r="A57" s="84" t="s">
        <v>162</v>
      </c>
      <c r="B57" s="87" t="s">
        <v>66</v>
      </c>
      <c r="C57" s="102" t="s">
        <v>74</v>
      </c>
      <c r="D57" s="117">
        <f>$D$14</f>
        <v>10</v>
      </c>
      <c r="E57" s="86">
        <f>IF(B57="y",D57*2,0)</f>
        <v>20</v>
      </c>
    </row>
    <row r="58" spans="1:15" s="135" customFormat="1" ht="32.25" customHeight="1">
      <c r="A58" s="84" t="s">
        <v>163</v>
      </c>
      <c r="B58" s="87" t="s">
        <v>66</v>
      </c>
      <c r="C58" s="102" t="s">
        <v>74</v>
      </c>
      <c r="D58" s="117">
        <f>$D$14</f>
        <v>10</v>
      </c>
      <c r="E58" s="86">
        <f>IF(B58="y",D58*2,0)</f>
        <v>20</v>
      </c>
    </row>
    <row r="59" spans="1:15" s="135" customFormat="1">
      <c r="A59" s="84" t="s">
        <v>108</v>
      </c>
      <c r="B59" s="87" t="s">
        <v>66</v>
      </c>
      <c r="C59" s="82"/>
      <c r="D59" s="82"/>
      <c r="E59" s="83">
        <v>0.5</v>
      </c>
    </row>
    <row r="60" spans="1:15" s="135" customFormat="1" ht="31.5" customHeight="1">
      <c r="A60" s="84" t="s">
        <v>164</v>
      </c>
      <c r="B60" s="87" t="s">
        <v>66</v>
      </c>
      <c r="C60" s="102" t="s">
        <v>74</v>
      </c>
      <c r="D60" s="117">
        <f>$D$14</f>
        <v>10</v>
      </c>
      <c r="E60" s="86">
        <f>IF(B60="y",D60*3*3,0)</f>
        <v>90</v>
      </c>
    </row>
    <row r="61" spans="1:15" s="135" customFormat="1" ht="30" customHeight="1">
      <c r="A61" s="84" t="s">
        <v>165</v>
      </c>
      <c r="B61" s="87" t="s">
        <v>66</v>
      </c>
      <c r="C61" s="102" t="s">
        <v>74</v>
      </c>
      <c r="D61" s="117">
        <f>$D$14</f>
        <v>10</v>
      </c>
      <c r="E61" s="86">
        <f>IF(B61="y",D61*2*3,0)</f>
        <v>60</v>
      </c>
      <c r="F61" s="195"/>
      <c r="G61" s="196"/>
      <c r="H61" s="196"/>
      <c r="I61" s="196"/>
      <c r="J61" s="196"/>
      <c r="K61" s="196"/>
      <c r="L61" s="196"/>
      <c r="M61" s="196"/>
      <c r="N61" s="196"/>
      <c r="O61" s="196"/>
    </row>
    <row r="62" spans="1:15" s="135" customFormat="1" ht="31.5" customHeight="1">
      <c r="A62" s="84" t="s">
        <v>166</v>
      </c>
      <c r="B62" s="87" t="s">
        <v>66</v>
      </c>
      <c r="C62" s="102" t="s">
        <v>74</v>
      </c>
      <c r="D62" s="117">
        <f>$D$14</f>
        <v>10</v>
      </c>
      <c r="E62" s="86">
        <f>IF(B62="y",D62*0.5,0)</f>
        <v>5</v>
      </c>
    </row>
    <row r="63" spans="1:15" s="135" customFormat="1" ht="16.5" thickBot="1">
      <c r="A63" s="197" t="s">
        <v>109</v>
      </c>
      <c r="B63" s="198"/>
      <c r="C63" s="198"/>
      <c r="D63" s="198"/>
      <c r="E63" s="115">
        <f>SUMIF(B52:B62,"y",E52:E62)</f>
        <v>370.5</v>
      </c>
    </row>
    <row r="64" spans="1:15" s="135" customFormat="1" ht="30.75" thickBot="1">
      <c r="A64" s="101" t="s">
        <v>110</v>
      </c>
      <c r="B64" s="77" t="s">
        <v>61</v>
      </c>
      <c r="C64" s="78" t="s">
        <v>62</v>
      </c>
      <c r="D64" s="77" t="s">
        <v>63</v>
      </c>
      <c r="E64" s="79" t="s">
        <v>64</v>
      </c>
    </row>
    <row r="65" spans="1:15" s="135" customFormat="1" ht="31.5" customHeight="1">
      <c r="A65" s="80" t="s">
        <v>167</v>
      </c>
      <c r="B65" s="87" t="s">
        <v>66</v>
      </c>
      <c r="C65" s="82"/>
      <c r="D65" s="82"/>
      <c r="E65" s="83">
        <v>20</v>
      </c>
      <c r="F65" s="195"/>
      <c r="G65" s="196"/>
      <c r="H65" s="196"/>
      <c r="I65" s="196"/>
      <c r="J65" s="196"/>
      <c r="K65" s="196"/>
      <c r="L65" s="196"/>
      <c r="M65" s="196"/>
      <c r="N65" s="196"/>
      <c r="O65" s="196"/>
    </row>
    <row r="66" spans="1:15" s="135" customFormat="1" ht="27.75" customHeight="1">
      <c r="A66" s="84" t="s">
        <v>111</v>
      </c>
      <c r="B66" s="87" t="s">
        <v>66</v>
      </c>
      <c r="C66" s="82"/>
      <c r="D66" s="82"/>
      <c r="E66" s="83">
        <v>2</v>
      </c>
    </row>
    <row r="67" spans="1:15" s="135" customFormat="1" ht="19.5" customHeight="1">
      <c r="A67" s="84" t="s">
        <v>112</v>
      </c>
      <c r="B67" s="87" t="s">
        <v>66</v>
      </c>
      <c r="C67" s="82"/>
      <c r="D67" s="82"/>
      <c r="E67" s="83">
        <v>5</v>
      </c>
    </row>
    <row r="68" spans="1:15" s="135" customFormat="1" ht="47.25" customHeight="1">
      <c r="A68" s="84" t="s">
        <v>168</v>
      </c>
      <c r="B68" s="87" t="s">
        <v>66</v>
      </c>
      <c r="C68" s="116" t="s">
        <v>113</v>
      </c>
      <c r="D68" s="94">
        <v>2</v>
      </c>
      <c r="E68" s="95">
        <f>IF(B68="y",D68*(1+2*D9+2),0)</f>
        <v>14</v>
      </c>
    </row>
    <row r="69" spans="1:15" s="135" customFormat="1" ht="19.5" customHeight="1">
      <c r="A69" s="84" t="s">
        <v>114</v>
      </c>
      <c r="B69" s="87" t="s">
        <v>66</v>
      </c>
      <c r="C69" s="82"/>
      <c r="D69" s="82"/>
      <c r="E69" s="83">
        <v>5</v>
      </c>
    </row>
    <row r="70" spans="1:15" s="135" customFormat="1" ht="16.5" thickBot="1">
      <c r="A70" s="197" t="s">
        <v>115</v>
      </c>
      <c r="B70" s="198"/>
      <c r="C70" s="198"/>
      <c r="D70" s="198"/>
      <c r="E70" s="115">
        <f>SUMIF(B65:B69,"y",E65:E69)</f>
        <v>46</v>
      </c>
    </row>
    <row r="71" spans="1:15" s="135" customFormat="1" ht="30.75" thickBot="1">
      <c r="A71" s="101" t="s">
        <v>116</v>
      </c>
      <c r="B71" s="77" t="s">
        <v>61</v>
      </c>
      <c r="C71" s="78" t="s">
        <v>62</v>
      </c>
      <c r="D71" s="77" t="s">
        <v>63</v>
      </c>
      <c r="E71" s="79" t="s">
        <v>64</v>
      </c>
    </row>
    <row r="72" spans="1:15" s="135" customFormat="1" ht="18" customHeight="1">
      <c r="A72" s="80" t="s">
        <v>117</v>
      </c>
      <c r="B72" s="87" t="s">
        <v>66</v>
      </c>
      <c r="C72" s="82"/>
      <c r="D72" s="82"/>
      <c r="E72" s="83">
        <v>5</v>
      </c>
    </row>
    <row r="73" spans="1:15" s="135" customFormat="1" ht="30.75" customHeight="1">
      <c r="A73" s="84" t="s">
        <v>169</v>
      </c>
      <c r="B73" s="87" t="s">
        <v>66</v>
      </c>
      <c r="C73" s="102" t="s">
        <v>118</v>
      </c>
      <c r="D73" s="94">
        <v>10</v>
      </c>
      <c r="E73" s="86">
        <f>IF(B73="y",D73*0.2*12,0)</f>
        <v>24</v>
      </c>
    </row>
    <row r="74" spans="1:15" s="135" customFormat="1" ht="32.25" customHeight="1">
      <c r="A74" s="84" t="s">
        <v>170</v>
      </c>
      <c r="B74" s="87" t="s">
        <v>66</v>
      </c>
      <c r="C74" s="102" t="s">
        <v>119</v>
      </c>
      <c r="D74" s="94">
        <v>1</v>
      </c>
      <c r="E74" s="86">
        <f>IF(B74="y",D74*(3+1+D9*2),0)</f>
        <v>8</v>
      </c>
    </row>
    <row r="75" spans="1:15" s="135" customFormat="1" ht="35.25" customHeight="1">
      <c r="A75" s="84" t="s">
        <v>120</v>
      </c>
      <c r="B75" s="87" t="s">
        <v>66</v>
      </c>
      <c r="C75" s="82"/>
      <c r="D75" s="82"/>
      <c r="E75" s="83">
        <v>5</v>
      </c>
      <c r="F75" s="199"/>
      <c r="G75" s="200"/>
      <c r="H75" s="200"/>
      <c r="I75" s="200"/>
      <c r="J75" s="200"/>
      <c r="K75" s="200"/>
      <c r="L75" s="200"/>
      <c r="M75" s="200"/>
      <c r="N75" s="200"/>
    </row>
    <row r="76" spans="1:15" s="135" customFormat="1" ht="31.5">
      <c r="A76" s="84" t="s">
        <v>171</v>
      </c>
      <c r="B76" s="87" t="s">
        <v>66</v>
      </c>
      <c r="C76" s="82"/>
      <c r="D76" s="82"/>
      <c r="E76" s="83">
        <v>24</v>
      </c>
    </row>
    <row r="77" spans="1:15" s="135" customFormat="1" ht="18" customHeight="1">
      <c r="A77" s="84" t="s">
        <v>172</v>
      </c>
      <c r="B77" s="87" t="s">
        <v>66</v>
      </c>
      <c r="C77" s="82"/>
      <c r="D77" s="82"/>
      <c r="E77" s="83">
        <v>24</v>
      </c>
    </row>
    <row r="78" spans="1:15" s="135" customFormat="1">
      <c r="A78" s="84" t="s">
        <v>173</v>
      </c>
      <c r="B78" s="87" t="s">
        <v>66</v>
      </c>
      <c r="C78" s="82"/>
      <c r="D78" s="82"/>
      <c r="E78" s="83">
        <v>6</v>
      </c>
    </row>
    <row r="79" spans="1:15" s="135" customFormat="1" ht="16.5" thickBot="1">
      <c r="A79" s="121" t="s">
        <v>121</v>
      </c>
      <c r="B79" s="122"/>
      <c r="C79" s="122"/>
      <c r="D79" s="122"/>
      <c r="E79" s="115">
        <f>SUMIF(B72:B78,"y",E72:E78)</f>
        <v>96</v>
      </c>
    </row>
    <row r="80" spans="1:15" s="135" customFormat="1" ht="30.75" thickBot="1">
      <c r="A80" s="101" t="s">
        <v>122</v>
      </c>
      <c r="B80" s="77" t="s">
        <v>61</v>
      </c>
      <c r="C80" s="78" t="s">
        <v>62</v>
      </c>
      <c r="D80" s="77" t="s">
        <v>63</v>
      </c>
      <c r="E80" s="79" t="s">
        <v>64</v>
      </c>
    </row>
    <row r="81" spans="1:15" s="135" customFormat="1" ht="48" customHeight="1">
      <c r="A81" s="80" t="s">
        <v>123</v>
      </c>
      <c r="B81" s="87" t="s">
        <v>66</v>
      </c>
      <c r="C81" s="119" t="s">
        <v>178</v>
      </c>
      <c r="D81" s="94">
        <v>1</v>
      </c>
      <c r="E81" s="86">
        <f>IF(B81="y",D81*40,0)</f>
        <v>40</v>
      </c>
      <c r="F81" s="125"/>
    </row>
    <row r="82" spans="1:15" s="135" customFormat="1">
      <c r="A82" s="84" t="s">
        <v>126</v>
      </c>
      <c r="B82" s="87" t="s">
        <v>66</v>
      </c>
      <c r="C82" s="82"/>
      <c r="D82" s="82"/>
      <c r="E82" s="83">
        <v>5</v>
      </c>
    </row>
    <row r="83" spans="1:15" s="135" customFormat="1">
      <c r="A83" s="84" t="s">
        <v>127</v>
      </c>
      <c r="B83" s="87" t="s">
        <v>66</v>
      </c>
      <c r="C83" s="82"/>
      <c r="D83" s="82"/>
      <c r="E83" s="83">
        <v>5</v>
      </c>
    </row>
    <row r="84" spans="1:15" s="135" customFormat="1">
      <c r="A84" s="84" t="s">
        <v>128</v>
      </c>
      <c r="B84" s="87" t="s">
        <v>66</v>
      </c>
      <c r="C84" s="82"/>
      <c r="D84" s="82"/>
      <c r="E84" s="83">
        <v>12</v>
      </c>
    </row>
    <row r="85" spans="1:15" s="135" customFormat="1">
      <c r="A85" s="84" t="s">
        <v>129</v>
      </c>
      <c r="B85" s="87" t="s">
        <v>66</v>
      </c>
      <c r="C85" s="82"/>
      <c r="D85" s="82"/>
      <c r="E85" s="83">
        <v>12</v>
      </c>
    </row>
    <row r="86" spans="1:15" s="135" customFormat="1" ht="63">
      <c r="A86" s="84" t="s">
        <v>174</v>
      </c>
      <c r="B86" s="87" t="s">
        <v>66</v>
      </c>
      <c r="C86" s="82"/>
      <c r="D86" s="82"/>
      <c r="E86" s="83">
        <v>24</v>
      </c>
    </row>
    <row r="87" spans="1:15" s="135" customFormat="1">
      <c r="A87" s="84" t="s">
        <v>130</v>
      </c>
      <c r="B87" s="87" t="s">
        <v>66</v>
      </c>
      <c r="C87" s="82"/>
      <c r="D87" s="82"/>
      <c r="E87" s="83">
        <v>5</v>
      </c>
    </row>
    <row r="88" spans="1:15" s="135" customFormat="1" ht="31.5">
      <c r="A88" s="84" t="s">
        <v>179</v>
      </c>
      <c r="B88" s="87" t="s">
        <v>66</v>
      </c>
      <c r="C88" s="82"/>
      <c r="D88" s="82"/>
      <c r="E88" s="83">
        <v>5</v>
      </c>
      <c r="F88" s="195"/>
      <c r="G88" s="196"/>
      <c r="H88" s="196"/>
      <c r="I88" s="196"/>
      <c r="J88" s="196"/>
      <c r="K88" s="196"/>
      <c r="L88" s="196"/>
      <c r="M88" s="196"/>
      <c r="N88" s="196"/>
      <c r="O88" s="196"/>
    </row>
    <row r="89" spans="1:15" s="135" customFormat="1" ht="48" thickBot="1">
      <c r="A89" s="118" t="s">
        <v>180</v>
      </c>
      <c r="B89" s="126" t="s">
        <v>66</v>
      </c>
      <c r="C89" s="127" t="s">
        <v>131</v>
      </c>
      <c r="D89" s="128">
        <f>D10</f>
        <v>3</v>
      </c>
      <c r="E89" s="146">
        <f>D89*1.5*6</f>
        <v>27</v>
      </c>
      <c r="F89" s="142"/>
      <c r="G89" s="143"/>
      <c r="H89" s="143"/>
      <c r="I89" s="143"/>
      <c r="J89" s="143"/>
      <c r="K89" s="143"/>
      <c r="L89" s="143"/>
      <c r="M89" s="143"/>
      <c r="N89" s="143"/>
      <c r="O89" s="143"/>
    </row>
    <row r="90" spans="1:15" s="135" customFormat="1" ht="16.5" thickBot="1">
      <c r="A90" s="121" t="s">
        <v>132</v>
      </c>
      <c r="B90" s="122"/>
      <c r="C90" s="122"/>
      <c r="D90" s="122"/>
      <c r="E90" s="115">
        <f>SUMIF(B81:B89,"y",E81:E89)</f>
        <v>135</v>
      </c>
    </row>
  </sheetData>
  <mergeCells count="16">
    <mergeCell ref="F65:O65"/>
    <mergeCell ref="A70:D70"/>
    <mergeCell ref="F75:N75"/>
    <mergeCell ref="F88:O88"/>
    <mergeCell ref="A33:D33"/>
    <mergeCell ref="F39:O39"/>
    <mergeCell ref="A50:D50"/>
    <mergeCell ref="F53:O53"/>
    <mergeCell ref="F61:O61"/>
    <mergeCell ref="A63:D63"/>
    <mergeCell ref="A21:D21"/>
    <mergeCell ref="A1:E1"/>
    <mergeCell ref="A2:E2"/>
    <mergeCell ref="A3:D3"/>
    <mergeCell ref="A4:D4"/>
    <mergeCell ref="A5:D5"/>
  </mergeCells>
  <conditionalFormatting sqref="B22:B32 B6:B20 B34:B1048576">
    <cfRule type="cellIs" dxfId="13" priority="13" operator="equal">
      <formula>"n"</formula>
    </cfRule>
    <cfRule type="cellIs" dxfId="12" priority="14" operator="equal">
      <formula>"y"</formula>
    </cfRule>
  </conditionalFormatting>
  <conditionalFormatting sqref="B89">
    <cfRule type="cellIs" dxfId="11" priority="11" operator="equal">
      <formula>"n"</formula>
    </cfRule>
    <cfRule type="cellIs" dxfId="10" priority="12" operator="equal">
      <formula>"y"</formula>
    </cfRule>
  </conditionalFormatting>
  <conditionalFormatting sqref="B89">
    <cfRule type="cellIs" dxfId="9" priority="9" operator="equal">
      <formula>"n"</formula>
    </cfRule>
    <cfRule type="cellIs" dxfId="8" priority="10" operator="equal">
      <formula>"y"</formula>
    </cfRule>
  </conditionalFormatting>
  <conditionalFormatting sqref="B89">
    <cfRule type="cellIs" dxfId="7" priority="7" operator="equal">
      <formula>"n"</formula>
    </cfRule>
    <cfRule type="cellIs" dxfId="6" priority="8" operator="equal">
      <formula>"y"</formula>
    </cfRule>
  </conditionalFormatting>
  <conditionalFormatting sqref="B22:B32 B6:B20 B34:B79">
    <cfRule type="cellIs" dxfId="5" priority="5" operator="equal">
      <formula>"n"</formula>
    </cfRule>
    <cfRule type="cellIs" dxfId="4" priority="6" operator="equal">
      <formula>"y"</formula>
    </cfRule>
  </conditionalFormatting>
  <conditionalFormatting sqref="B31:B32">
    <cfRule type="cellIs" dxfId="3" priority="3" operator="equal">
      <formula>"n"</formula>
    </cfRule>
    <cfRule type="cellIs" dxfId="2" priority="4" operator="equal">
      <formula>"y"</formula>
    </cfRule>
  </conditionalFormatting>
  <conditionalFormatting sqref="B53">
    <cfRule type="cellIs" dxfId="1" priority="1" operator="equal">
      <formula>"n"</formula>
    </cfRule>
    <cfRule type="cellIs" dxfId="0" priority="2" operator="equal">
      <formula>"y"</formula>
    </cfRule>
  </conditionalFormatting>
  <dataValidations count="28">
    <dataValidation allowBlank="1" showInputMessage="1" showErrorMessage="1" promptTitle="Additional information" prompt="It is estimated that under a service contract notification letters can be expected a year each requiring 2 working days for preparation and processing. If it is estimated differently, the formula needs to be modified." sqref="A13"/>
    <dataValidation allowBlank="1" showInputMessage="1" showErrorMessage="1" promptTitle="Value automatically calculated" prompt="The number of days is calculated as the number of reports multiplied with 2 days estimated for each report. Total of 2 days for audit is added." sqref="E11"/>
    <dataValidation allowBlank="1" showInputMessage="1" showErrorMessage="1" prompt="This number is calculated in the sheet &quot;available working time per year&quot;and is transferred automatically here. This number should be different for diferrent countries in the WB according to legislation, public holidays, etc." sqref="E4"/>
    <dataValidation type="decimal" showInputMessage="1" showErrorMessage="1" errorTitle="Enter a number 0-1000" error="Only numbers between 0 and 1.000 are allowed (whole, or decimal)" promptTitle="Value automatically calculated" prompt="Value calculated as double the estimated number of projects recommended" sqref="D45:D46">
      <formula1>0</formula1>
      <formula2>1000</formula2>
    </dataValidation>
    <dataValidation allowBlank="1" showInputMessage="1" showErrorMessage="1" promptTitle="Aditional clarification:" prompt="Even in the case of an open call, concept note evaluation is still being performed, according to the provisions of Article 6.4.1.2 of PRAG 2014. Related calculations of efforts take this into account." sqref="C40"/>
    <dataValidation type="decimal" showInputMessage="1" showErrorMessage="1" errorTitle="Enter a number 0-1000" error="Only numbers between 0 and 1.000 are allowed (whole, or decimal)" promptTitle="Value automatically copied" prompt="Value coppied from another cell" sqref="D89 D54:D58 D60:D62">
      <formula1>0</formula1>
      <formula2>1000</formula2>
    </dataValidation>
    <dataValidation type="decimal" showInputMessage="1" showErrorMessage="1" errorTitle="Enter a number 0-1000" error="Only numbers between 0 and 1.000 are allowed (whole, or decimal)" promptTitle="Value automatically copied" prompt="Value copied from another cell" sqref="D47">
      <formula1>0</formula1>
      <formula2>1000</formula2>
    </dataValidation>
    <dataValidation type="whole" allowBlank="1" showDropDown="1" showInputMessage="1" showErrorMessage="1" errorTitle="Please enter 1 or 2" promptTitle="Value automatically copied" prompt="Copied from another cell" sqref="D41:D42">
      <formula1>1</formula1>
      <formula2>1000</formula2>
    </dataValidation>
    <dataValidation type="decimal" showInputMessage="1" showErrorMessage="1" errorTitle="Enter a number 0-1000" error="Only numbers between 0 and 1.000 are allowed (whole, or decimal)" promptTitle="Value automatically copied" prompt="Copied from another cell" sqref="D16 D18:D19">
      <formula1>0</formula1>
      <formula2>1000</formula2>
    </dataValidation>
    <dataValidation type="decimal" showInputMessage="1" showErrorMessage="1" errorTitle="Enter a number 0-1000" error="Only numbers between 0 and 1.000 are allowed (whole, or decimal)" promptTitle="Estimated number of projects" prompt="An estimation of average number of projects under implementation at any given moment. It often will not be constant throughout the year, but the best possible estimation should be provided here, especially since this value is used throughout the sheet." sqref="D14">
      <formula1>0</formula1>
      <formula2>1000</formula2>
    </dataValidation>
    <dataValidation allowBlank="1" showInputMessage="1" showErrorMessage="1" promptTitle="Enter your estimation here" prompt="The number of working days estimated for this activity is entered directly into this cell._x000a__x000a_Please note that you may consider reducing this number if the call for proposals is an open one" sqref="E38"/>
    <dataValidation type="list" allowBlank="1" showDropDown="1" showInputMessage="1" showErrorMessage="1" errorTitle="Error" error="Only &quot;y&quot; and &quot;n&quot; are allowed values for this cell." promptTitle="Value automatically changed" prompt="Value of this cell is automatically changed depending on your selection under point 5.b (restricted or open call)" sqref="B41:B42">
      <formula1>"Y,y,N,n"</formula1>
    </dataValidation>
    <dataValidation type="whole" allowBlank="1" showDropDown="1" showInputMessage="1" showErrorMessage="1" errorTitle="Please enter 1 or 2" promptTitle="Enter 1 or 2" prompt="1 - restricted call to be evaluated_x000a_2 - open call to be evaluated_x000a__x000a_If you do not agree with number of hours per concept note, formula needs to be changed" sqref="D40">
      <formula1>1</formula1>
      <formula2>2</formula2>
    </dataValidation>
    <dataValidation type="whole" allowBlank="1" showDropDown="1" showInputMessage="1" showErrorMessage="1" errorTitle="Enter a number 0-1000" error="Only numbers between 0 and 1.000 are allowed (whole, or decimal)" sqref="D44">
      <formula1>1</formula1>
      <formula2>2</formula2>
    </dataValidation>
    <dataValidation type="decimal" showInputMessage="1" showErrorMessage="1" errorTitle="Enter a number 0-1000" error="Only numbers between 0 and 1.000 are allowed (whole, or decimal)" sqref="D81 D73:D74 D28:D32 D9 D39 D53 D43 D25 D68 D15 D17 D13">
      <formula1>0</formula1>
      <formula2>1000</formula2>
    </dataValidation>
    <dataValidation type="whole" allowBlank="1" showDropDown="1" showInputMessage="1" showErrorMessage="1" sqref="D52">
      <formula1>1</formula1>
      <formula2>2</formula2>
    </dataValidation>
    <dataValidation allowBlank="1" showInputMessage="1" showErrorMessage="1" promptTitle="The cell need not be modified" prompt="Its value does not affect any of the calculations" sqref="C89 C82:D88 C7:D8 C26:D27 C20:D20 C35:D35 C37:D38 C72:D72 C48:D49 C59:D59 C65:D67 C69:D69 C75:D78 C10:C11 C23:D24"/>
    <dataValidation allowBlank="1" showInputMessage="1" showErrorMessage="1" promptTitle="Value automactically calculated" prompt="The formula should not be changed unless you do not agree with the method of calculation, i.e. values in the description of the activity." sqref="E19"/>
    <dataValidation allowBlank="1" showInputMessage="1" showErrorMessage="1" promptTitle="Value automatically calculated" prompt="The formula should not be changed unless you do not agree with the method of calculation, i.e. values in the description of the activity." sqref="E81 E28:E32 E9 E36 E23:E25 E52:E58 E68 E73:E74 E60:E62 E39:E47 E12:E18"/>
    <dataValidation type="list" allowBlank="1" showDropDown="1" showInputMessage="1" showErrorMessage="1" errorTitle="Error" error="Only &quot;y&quot; and &quot;n&quot; are allowed values for this cell." promptTitle="Enter &quot;n&quot; if not applicable" prompt="If this activity was not planned for the period covered, enter &quot;n&quot; in this field. The number of days related to it will automatically be ignored in the related calculations." sqref="B81:B89 B9:B20 B52:B62 B23:B32 B65:B69 B72:B78 B35:B40 B43:B49 B7">
      <formula1>"Y,y,N,n"</formula1>
    </dataValidation>
    <dataValidation allowBlank="1" showInputMessage="1" showErrorMessage="1" promptTitle="Enter your estimation here" prompt="The number of working days estimated for this activity is entered directly into this cell." sqref="E82:E89 E37 E26:E27 E75:E78 E20 E35 E7 E48:E49 E59 E65:E67 E69 E72"/>
    <dataValidation type="whole" allowBlank="1" showDropDown="1" showInputMessage="1" showErrorMessage="1" errorTitle="Please enter 1 or 2" promptTitle="Enter 1 or 2" prompt="1 - assessors hired through a tender procedure_x000a_2 - engagement of assessors do not require a tender procedure_x000a__x000a_If you do not agree with number of working days per sub-task, formula needs to be changed" sqref="D36">
      <formula1>1</formula1>
      <formula2>2</formula2>
    </dataValidation>
    <dataValidation type="list" allowBlank="1" showDropDown="1" showInputMessage="1" showErrorMessage="1" errorTitle="Error" error="Only &quot;y&quot; and &quot;n&quot; are allowed values for this cell." promptTitle="The value should not be modified" prompt="Instead, values for 2.1 to 2.5 below should be modified if any of the sub-tasks are not applicable" sqref="B8">
      <formula1>"Y,y,N,n"</formula1>
    </dataValidation>
    <dataValidation allowBlank="1" showDropDown="1" showInputMessage="1" showErrorMessage="1" errorTitle="Please enter 1 or 2" promptTitle="Value automatically calculated" prompt="It is assumed that monthly reports will not be prepared in these months in which inception, interim, or final reports are prepared" sqref="D12"/>
    <dataValidation allowBlank="1" showInputMessage="1" showErrorMessage="1" promptTitle="Value automatically calculated" prompt="Do not change manually" sqref="E8"/>
    <dataValidation allowBlank="1" showInputMessage="1" showErrorMessage="1" promptTitle="Enter the number of reports" prompt="Enter here the number of reports foreseen for a given year._x000a__x000a_Most likely, it will be 3 for year 1 of implementation of service contract (because of the inception report) and 2 for other years." sqref="D10"/>
    <dataValidation allowBlank="1" showInputMessage="1" showErrorMessage="1" promptTitle="Value automatically calculated" prompt="The number of days is calculated as the number of reports multiplied with 7 days estimated for each report." sqref="E10"/>
    <dataValidation allowBlank="1" showInputMessage="1" showErrorMessage="1" promptTitle="Value automatically copied" prompt="Automatically copied from another cell" sqref="D11"/>
  </dataValidations>
  <printOptions horizontalCentered="1"/>
  <pageMargins left="0.74803149606299202" right="0.74803149606299202" top="1.14173228346457" bottom="0.55118110236220497" header="0.511811023622047" footer="0.43307086614173201"/>
  <pageSetup paperSize="9" scale="69" fitToHeight="3" orientation="portrait" r:id="rId1"/>
  <headerFooter alignWithMargins="0">
    <oddHeader>&amp;LAnnex 04&amp;CJTS manual of procedures under IPA II CBC programmes</oddHeader>
    <oddFooter>&amp;C&amp;A&amp;RPage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Budget</vt:lpstr>
      <vt:lpstr>Activities timeline</vt:lpstr>
      <vt:lpstr>WLA summary - DM</vt:lpstr>
      <vt:lpstr>WL calculation - DM</vt:lpstr>
      <vt:lpstr>WLA summary - IM</vt:lpstr>
      <vt:lpstr>WL calculation - IM</vt:lpstr>
      <vt:lpstr>Sheet1</vt:lpstr>
      <vt:lpstr>Budget!Print_Area</vt:lpstr>
      <vt:lpstr>'WL calculation - DM'!Print_Area</vt:lpstr>
      <vt:lpstr>'WL calculation - IM'!Print_Area</vt:lpstr>
    </vt:vector>
  </TitlesOfParts>
  <Company>CEC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Georis</dc:creator>
  <cp:lastModifiedBy>Will</cp:lastModifiedBy>
  <cp:lastPrinted>2016-05-24T13:47:10Z</cp:lastPrinted>
  <dcterms:created xsi:type="dcterms:W3CDTF">2008-01-20T15:19:48Z</dcterms:created>
  <dcterms:modified xsi:type="dcterms:W3CDTF">2016-05-26T08:45:50Z</dcterms:modified>
</cp:coreProperties>
</file>